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480" yWindow="120" windowWidth="11355" windowHeight="8700" activeTab="2"/>
  </bookViews>
  <sheets>
    <sheet name="calcolo" sheetId="1" r:id="rId1"/>
    <sheet name="Note" sheetId="2" r:id="rId2"/>
    <sheet name="scheda" sheetId="4" r:id="rId3"/>
    <sheet name="vuoto" sheetId="14" r:id="rId4"/>
  </sheets>
  <definedNames>
    <definedName name="_COS11">calcolo!$B$3</definedName>
    <definedName name="_COS19">calcolo!$B$5</definedName>
    <definedName name="_COS30">calcolo!$B$9</definedName>
    <definedName name="_COS41">calcolo!$B$7</definedName>
    <definedName name="_xlnm._FilterDatabase" localSheetId="2" hidden="1">scheda!$AL$14</definedName>
    <definedName name="_SEN11">calcolo!$B$2</definedName>
    <definedName name="_SEN19">calcolo!$B$4</definedName>
    <definedName name="_SEN30">calcolo!$B$8</definedName>
    <definedName name="_SEN41">calcolo!$B$6</definedName>
    <definedName name="_xlnm.Print_Area" localSheetId="2">scheda!$B$1:$AQ$58</definedName>
    <definedName name="pi">calcolo!$C$1</definedName>
  </definedNames>
  <calcPr calcId="125725"/>
</workbook>
</file>

<file path=xl/calcChain.xml><?xml version="1.0" encoding="utf-8"?>
<calcChain xmlns="http://schemas.openxmlformats.org/spreadsheetml/2006/main">
  <c r="U9" i="1"/>
  <c r="U10"/>
  <c r="U11"/>
  <c r="U12"/>
  <c r="U4"/>
  <c r="M12" s="1"/>
  <c r="U5"/>
  <c r="M13" s="1"/>
  <c r="U6"/>
  <c r="U7"/>
  <c r="U8"/>
  <c r="U13"/>
  <c r="M16" s="1"/>
  <c r="U14"/>
  <c r="M17" s="1"/>
  <c r="W11"/>
  <c r="W10"/>
  <c r="W6"/>
  <c r="B40" s="1"/>
  <c r="W7"/>
  <c r="B41" s="1"/>
  <c r="W5"/>
  <c r="W4"/>
  <c r="W8"/>
  <c r="B42" s="1"/>
  <c r="W9"/>
  <c r="B43" s="1"/>
  <c r="C1"/>
  <c r="B5"/>
  <c r="E43"/>
  <c r="E42"/>
  <c r="E41"/>
  <c r="E40"/>
  <c r="B7"/>
  <c r="C39" s="1"/>
  <c r="B3"/>
  <c r="B9"/>
  <c r="B4"/>
  <c r="B13" s="1"/>
  <c r="C13" s="1"/>
  <c r="B8"/>
  <c r="B2"/>
  <c r="B6"/>
  <c r="B44" l="1"/>
  <c r="D44" s="1"/>
  <c r="J54" s="1"/>
  <c r="B15"/>
  <c r="C15" s="1"/>
  <c r="B49"/>
  <c r="C49" s="1"/>
  <c r="B51"/>
  <c r="C51" s="1"/>
  <c r="B16"/>
  <c r="C16" s="1"/>
  <c r="I49"/>
  <c r="I55" s="1"/>
  <c r="J57"/>
  <c r="P19" s="1"/>
  <c r="P25" s="1"/>
  <c r="B50"/>
  <c r="C50" s="1"/>
  <c r="B17"/>
  <c r="C17" s="1"/>
  <c r="B12"/>
  <c r="C12" s="1"/>
  <c r="B14"/>
  <c r="C14" s="1"/>
  <c r="C44"/>
  <c r="B52"/>
  <c r="F13"/>
  <c r="G13" s="1"/>
  <c r="I13" s="1"/>
  <c r="N13"/>
  <c r="F12"/>
  <c r="O12"/>
  <c r="O18" s="1"/>
  <c r="N12"/>
  <c r="N18" s="1"/>
  <c r="O13"/>
  <c r="O16"/>
  <c r="F16"/>
  <c r="N16"/>
  <c r="F17"/>
  <c r="O17"/>
  <c r="N17"/>
  <c r="M15"/>
  <c r="O15" s="1"/>
  <c r="M14"/>
  <c r="O14" s="1"/>
  <c r="B39"/>
  <c r="D39" s="1"/>
  <c r="E49" l="1"/>
  <c r="F49" s="1"/>
  <c r="J50" s="1"/>
  <c r="E51"/>
  <c r="I52" s="1"/>
  <c r="C52"/>
  <c r="E52" s="1"/>
  <c r="E50"/>
  <c r="J62"/>
  <c r="P24" s="1"/>
  <c r="I54"/>
  <c r="H13"/>
  <c r="J13" s="1"/>
  <c r="H12"/>
  <c r="J12" s="1"/>
  <c r="J18" s="1"/>
  <c r="G12"/>
  <c r="I12" s="1"/>
  <c r="I18" s="1"/>
  <c r="G16"/>
  <c r="I16" s="1"/>
  <c r="H16"/>
  <c r="J16" s="1"/>
  <c r="H17"/>
  <c r="J17" s="1"/>
  <c r="G17"/>
  <c r="I17" s="1"/>
  <c r="N15"/>
  <c r="F15"/>
  <c r="G15" s="1"/>
  <c r="I15" s="1"/>
  <c r="N14"/>
  <c r="F14"/>
  <c r="H14" s="1"/>
  <c r="J14" s="1"/>
  <c r="J49"/>
  <c r="C40" l="1"/>
  <c r="D40"/>
  <c r="I50"/>
  <c r="F51"/>
  <c r="C42"/>
  <c r="C43"/>
  <c r="I53"/>
  <c r="F52"/>
  <c r="I51"/>
  <c r="F50"/>
  <c r="C41"/>
  <c r="B33"/>
  <c r="C33" s="1"/>
  <c r="B31"/>
  <c r="C31" s="1"/>
  <c r="F31" s="1"/>
  <c r="B35"/>
  <c r="C35" s="1"/>
  <c r="F35" s="1"/>
  <c r="H15"/>
  <c r="J15" s="1"/>
  <c r="B24" s="1"/>
  <c r="C24" s="1"/>
  <c r="F24" s="1"/>
  <c r="G14"/>
  <c r="I14" s="1"/>
  <c r="B70"/>
  <c r="J55"/>
  <c r="D42" l="1"/>
  <c r="J52"/>
  <c r="D43"/>
  <c r="J53"/>
  <c r="D41"/>
  <c r="J51"/>
  <c r="H33"/>
  <c r="J20" s="1"/>
  <c r="F33"/>
  <c r="J25" s="1"/>
  <c r="B29"/>
  <c r="C29" s="1"/>
  <c r="F29" s="1"/>
  <c r="B22"/>
  <c r="C22" s="1"/>
  <c r="H22" s="1"/>
  <c r="J22" s="1"/>
  <c r="B27"/>
  <c r="C27" s="1"/>
  <c r="H27" s="1"/>
  <c r="B21"/>
  <c r="C21" s="1"/>
  <c r="F21" s="1"/>
  <c r="B26"/>
  <c r="C26" s="1"/>
  <c r="F26" s="1"/>
  <c r="C70"/>
  <c r="H70" s="1"/>
  <c r="B65" l="1"/>
  <c r="C65" s="1"/>
  <c r="F65" s="1"/>
  <c r="B66"/>
  <c r="B60"/>
  <c r="C60" s="1"/>
  <c r="F60" s="1"/>
  <c r="B61"/>
  <c r="C61" s="1"/>
  <c r="B68"/>
  <c r="B63"/>
  <c r="C63" s="1"/>
  <c r="F63" s="1"/>
  <c r="B58"/>
  <c r="C58" s="1"/>
  <c r="F58" s="1"/>
  <c r="B71"/>
  <c r="C71" s="1"/>
  <c r="F71" s="1"/>
  <c r="J24"/>
  <c r="P16" s="1"/>
  <c r="J26"/>
  <c r="P18" s="1"/>
  <c r="P12"/>
  <c r="K20"/>
  <c r="Q12" s="1"/>
  <c r="K25"/>
  <c r="Q17" s="1"/>
  <c r="P17"/>
  <c r="F27"/>
  <c r="J23" s="1"/>
  <c r="P15" s="1"/>
  <c r="F22"/>
  <c r="J21" s="1"/>
  <c r="K21" s="1"/>
  <c r="Q13" s="1"/>
  <c r="P14"/>
  <c r="K22"/>
  <c r="Q14" s="1"/>
  <c r="C66" l="1"/>
  <c r="F66" s="1"/>
  <c r="J61" s="1"/>
  <c r="H71"/>
  <c r="K57" s="1"/>
  <c r="R19" s="1"/>
  <c r="R25" s="1"/>
  <c r="C68"/>
  <c r="F68" s="1"/>
  <c r="H61"/>
  <c r="J60" s="1"/>
  <c r="F61"/>
  <c r="J59" s="1"/>
  <c r="J58"/>
  <c r="K24"/>
  <c r="Q16" s="1"/>
  <c r="Q36" s="1"/>
  <c r="Q31"/>
  <c r="K26"/>
  <c r="Q18" s="1"/>
  <c r="P13"/>
  <c r="Q33" s="1"/>
  <c r="K23"/>
  <c r="Q15" s="1"/>
  <c r="Q34" s="1"/>
  <c r="P23" l="1"/>
  <c r="K61"/>
  <c r="R23" s="1"/>
  <c r="H66"/>
  <c r="P22"/>
  <c r="K60"/>
  <c r="R22" s="1"/>
  <c r="P21"/>
  <c r="K59"/>
  <c r="R21" s="1"/>
  <c r="K58"/>
  <c r="R20" s="1"/>
  <c r="P20"/>
  <c r="H68"/>
  <c r="K62" s="1"/>
  <c r="R24" s="1"/>
  <c r="Q32"/>
  <c r="Q35"/>
  <c r="S33" l="1"/>
  <c r="S32"/>
  <c r="S36"/>
  <c r="S31"/>
  <c r="S35"/>
  <c r="S34"/>
  <c r="Q37"/>
  <c r="U16" s="1"/>
  <c r="S37" l="1"/>
  <c r="U17" s="1"/>
  <c r="U18" s="1"/>
  <c r="T46" i="4" s="1"/>
  <c r="I46" l="1"/>
</calcChain>
</file>

<file path=xl/comments1.xml><?xml version="1.0" encoding="utf-8"?>
<comments xmlns="http://schemas.openxmlformats.org/spreadsheetml/2006/main">
  <authors>
    <author>Flavio</author>
  </authors>
  <commentList>
    <comment ref="C38" authorId="0">
      <text>
        <r>
          <rPr>
            <b/>
            <sz val="8"/>
            <color indexed="81"/>
            <rFont val="Tahoma"/>
          </rPr>
          <t>Flavio:</t>
        </r>
        <r>
          <rPr>
            <sz val="8"/>
            <color indexed="81"/>
            <rFont val="Tahoma"/>
          </rPr>
          <t xml:space="preserve">
coordinate dei punti del diagramma assumendo l'origine il centro del diagramma
</t>
        </r>
      </text>
    </comment>
    <comment ref="B39" authorId="0">
      <text>
        <r>
          <rPr>
            <b/>
            <sz val="8"/>
            <color indexed="81"/>
            <rFont val="Tahoma"/>
          </rPr>
          <t>Flavio:</t>
        </r>
        <r>
          <rPr>
            <sz val="8"/>
            <color indexed="81"/>
            <rFont val="Tahoma"/>
          </rPr>
          <t xml:space="preserve">
ove ci sono più parametri sulla stessa retta si determina il maggiore
</t>
        </r>
      </text>
    </comment>
    <comment ref="B48" authorId="0">
      <text>
        <r>
          <rPr>
            <b/>
            <sz val="8"/>
            <color indexed="81"/>
            <rFont val="Tahoma"/>
          </rPr>
          <t>Flavio:</t>
        </r>
        <r>
          <rPr>
            <sz val="8"/>
            <color indexed="81"/>
            <rFont val="Tahoma"/>
          </rPr>
          <t xml:space="preserve">
calcolo i coeficienti m e q delle rette ove sono posizionati i parametri 
per le rette parallele all'aree delle ordinate assumo (approssimando) il valore delle ordinate = al parametro</t>
        </r>
      </text>
    </comment>
    <comment ref="B49" authorId="0">
      <text>
        <r>
          <rPr>
            <b/>
            <sz val="8"/>
            <color indexed="81"/>
            <rFont val="Tahoma"/>
          </rPr>
          <t>Flavio:</t>
        </r>
        <r>
          <rPr>
            <sz val="8"/>
            <color indexed="81"/>
            <rFont val="Tahoma"/>
          </rPr>
          <t xml:space="preserve">
tutte e 4 le rette (parallele a 2 a 2 ) hanno inclinazione di 30°</t>
        </r>
      </text>
    </comment>
    <comment ref="C49" authorId="0">
      <text>
        <r>
          <rPr>
            <b/>
            <sz val="8"/>
            <color indexed="81"/>
            <rFont val="Tahoma"/>
          </rPr>
          <t>Flavio:</t>
        </r>
        <r>
          <rPr>
            <sz val="8"/>
            <color indexed="81"/>
            <rFont val="Tahoma"/>
          </rPr>
          <t xml:space="preserve">
cacolo q imponendo al fascio di rette di passare per i punti A B C e D
intersezione delle rette con la circonferenza di raggio unitario e intersezione con le relative rette del cibo</t>
        </r>
      </text>
    </comment>
    <comment ref="E49" authorId="0">
      <text>
        <r>
          <rPr>
            <b/>
            <sz val="8"/>
            <color indexed="81"/>
            <rFont val="Tahoma"/>
          </rPr>
          <t>Flavio:</t>
        </r>
        <r>
          <rPr>
            <sz val="8"/>
            <color indexed="81"/>
            <rFont val="Tahoma"/>
          </rPr>
          <t xml:space="preserve">
calcolo uno dei punti di intersezione con la circonferenza di raggio = al parametro
</t>
        </r>
      </text>
    </comment>
    <comment ref="G66" authorId="0">
      <text>
        <r>
          <rPr>
            <b/>
            <sz val="8"/>
            <color indexed="81"/>
            <rFont val="Tahoma"/>
          </rPr>
          <t>Flavio:</t>
        </r>
        <r>
          <rPr>
            <sz val="8"/>
            <color indexed="81"/>
            <rFont val="Tahoma"/>
          </rPr>
          <t xml:space="preserve">
calcolo ordinata 
 intersezione </t>
        </r>
      </text>
    </comment>
    <comment ref="G68" authorId="0">
      <text>
        <r>
          <rPr>
            <b/>
            <sz val="8"/>
            <color indexed="81"/>
            <rFont val="Tahoma"/>
          </rPr>
          <t>Flavio:</t>
        </r>
        <r>
          <rPr>
            <sz val="8"/>
            <color indexed="81"/>
            <rFont val="Tahoma"/>
          </rPr>
          <t xml:space="preserve">
calcolo ordinata 
 intersezione </t>
        </r>
      </text>
    </comment>
  </commentList>
</comments>
</file>

<file path=xl/sharedStrings.xml><?xml version="1.0" encoding="utf-8"?>
<sst xmlns="http://schemas.openxmlformats.org/spreadsheetml/2006/main" count="228" uniqueCount="141">
  <si>
    <t>parametri</t>
  </si>
  <si>
    <t>X</t>
  </si>
  <si>
    <t>Y</t>
  </si>
  <si>
    <t>cibo</t>
  </si>
  <si>
    <t>persistenza</t>
  </si>
  <si>
    <t>Succulenza</t>
  </si>
  <si>
    <t>untuosità</t>
  </si>
  <si>
    <t>Sapidità</t>
  </si>
  <si>
    <t>Grassezza</t>
  </si>
  <si>
    <t>Tendenza Dolce</t>
  </si>
  <si>
    <t>sen ( 11°)</t>
  </si>
  <si>
    <t>cos ( 11°)</t>
  </si>
  <si>
    <t>sen (19°)</t>
  </si>
  <si>
    <t>cos ( 19°)</t>
  </si>
  <si>
    <t>sen (19+22)</t>
  </si>
  <si>
    <t>cos (19+22)</t>
  </si>
  <si>
    <t>chiusura</t>
  </si>
  <si>
    <t>Valori</t>
  </si>
  <si>
    <t>coordinate</t>
  </si>
  <si>
    <t>m</t>
  </si>
  <si>
    <t>q</t>
  </si>
  <si>
    <t>parametri rette fisse (y=mx+q)</t>
  </si>
  <si>
    <t>retta S - Sp</t>
  </si>
  <si>
    <t>retta S - P</t>
  </si>
  <si>
    <t>retta U - Sp</t>
  </si>
  <si>
    <t>retta P - G</t>
  </si>
  <si>
    <t>retta P- D</t>
  </si>
  <si>
    <t>retta Sp - D</t>
  </si>
  <si>
    <t>retta G - S</t>
  </si>
  <si>
    <t>Sp Sapidità</t>
  </si>
  <si>
    <t>D Tendenza Dolce</t>
  </si>
  <si>
    <t>Persistenza</t>
  </si>
  <si>
    <t>Untuosità</t>
  </si>
  <si>
    <t>Intersezioni</t>
  </si>
  <si>
    <t>retta u</t>
  </si>
  <si>
    <t>Xi</t>
  </si>
  <si>
    <t>retta P</t>
  </si>
  <si>
    <t>retta Sp</t>
  </si>
  <si>
    <t>retta G</t>
  </si>
  <si>
    <t>retta D</t>
  </si>
  <si>
    <t>retta G -U</t>
  </si>
  <si>
    <t>retta D - U</t>
  </si>
  <si>
    <t>retta S</t>
  </si>
  <si>
    <t>Persistenza
gusto-olfattiva</t>
  </si>
  <si>
    <t>Speziatura</t>
  </si>
  <si>
    <t>Aromaticità</t>
  </si>
  <si>
    <t>Tendenza
 amarognola</t>
  </si>
  <si>
    <t>Tendenza
acida</t>
  </si>
  <si>
    <t>Dolcezza</t>
  </si>
  <si>
    <t>Tendenza
Dolce</t>
  </si>
  <si>
    <t>Analisi sensoriale
CIBO</t>
  </si>
  <si>
    <t>Analisi sensoriale
VINO</t>
  </si>
  <si>
    <t>Intesità olfattiva</t>
  </si>
  <si>
    <t>P.A.I.</t>
  </si>
  <si>
    <t>Acidità</t>
  </si>
  <si>
    <t>Tannicità</t>
  </si>
  <si>
    <t>Alcolicità</t>
  </si>
  <si>
    <t>Morbidezza</t>
  </si>
  <si>
    <t>effervescenza
sapidità</t>
  </si>
  <si>
    <t>coordinate dei punti sul diagramma</t>
  </si>
  <si>
    <t>area 1</t>
  </si>
  <si>
    <t>area 2</t>
  </si>
  <si>
    <t>area 3</t>
  </si>
  <si>
    <t>area 4</t>
  </si>
  <si>
    <t>area 5</t>
  </si>
  <si>
    <t>area 6</t>
  </si>
  <si>
    <t>area C</t>
  </si>
  <si>
    <t>ANALISI SENSORIALE CIBO-VINO</t>
  </si>
  <si>
    <t>AREA CIBO</t>
  </si>
  <si>
    <t>AREA VINO</t>
  </si>
  <si>
    <t>DELTA</t>
  </si>
  <si>
    <t>VINO</t>
  </si>
  <si>
    <t>PAI</t>
  </si>
  <si>
    <t>Eff. Sapidità</t>
  </si>
  <si>
    <t>Dolc. Morbidezza</t>
  </si>
  <si>
    <t>sen 30</t>
  </si>
  <si>
    <t>cos 30</t>
  </si>
  <si>
    <t>retta acidità</t>
  </si>
  <si>
    <t>retta eff. Sapidità</t>
  </si>
  <si>
    <t>retta tannicità</t>
  </si>
  <si>
    <t>retta alcol</t>
  </si>
  <si>
    <t>vino</t>
  </si>
  <si>
    <t>parametri rette fisse (y=mx+q) assumendo l'origine il centro del diagramma</t>
  </si>
  <si>
    <t>coordinate prima del controllo convessità</t>
  </si>
  <si>
    <t>retta PAI -EFF Sap</t>
  </si>
  <si>
    <t>retta ac -al</t>
  </si>
  <si>
    <t>retta Eff Sap - alc</t>
  </si>
  <si>
    <t>retta T - DM</t>
  </si>
  <si>
    <t>retta T - PAI</t>
  </si>
  <si>
    <t>retta alc - PAI</t>
  </si>
  <si>
    <t>retta DM - acid</t>
  </si>
  <si>
    <t>retta DM - Eff Sap</t>
  </si>
  <si>
    <t>retta acid - T</t>
  </si>
  <si>
    <t>retta Eff Sap</t>
  </si>
  <si>
    <t>retta T</t>
  </si>
  <si>
    <t>retta alc</t>
  </si>
  <si>
    <t>retta DM</t>
  </si>
  <si>
    <t>retta PAI</t>
  </si>
  <si>
    <t>retta acid</t>
  </si>
  <si>
    <t>Cibo/preparazione</t>
  </si>
  <si>
    <t>Piatto caldo</t>
  </si>
  <si>
    <t>Piatto freddo</t>
  </si>
  <si>
    <t>Annata</t>
  </si>
  <si>
    <t>Temperatura</t>
  </si>
  <si>
    <t>Corpo del vino</t>
  </si>
  <si>
    <t>Debole</t>
  </si>
  <si>
    <t>Di corpo</t>
  </si>
  <si>
    <t>Robusto</t>
  </si>
  <si>
    <t>Poco strutturato</t>
  </si>
  <si>
    <t>Abbastanza strutturato</t>
  </si>
  <si>
    <t>Strutturato</t>
  </si>
  <si>
    <t>Denominazione vino</t>
  </si>
  <si>
    <t xml:space="preserve">Area prevalente  </t>
  </si>
  <si>
    <t>Differenza</t>
  </si>
  <si>
    <t>input dei dati</t>
  </si>
  <si>
    <t>CIBO</t>
  </si>
  <si>
    <t>DOLCEZZA</t>
  </si>
  <si>
    <t>Data</t>
  </si>
  <si>
    <t>Ora</t>
  </si>
  <si>
    <t>Luogo</t>
  </si>
  <si>
    <t>Degustatore</t>
  </si>
  <si>
    <t>Tendenza Amarognola</t>
  </si>
  <si>
    <t>Tendenza Acida</t>
  </si>
  <si>
    <t>BWined</t>
  </si>
  <si>
    <t>ROTONDITA'</t>
  </si>
  <si>
    <t>Sapidità/Umami</t>
  </si>
  <si>
    <t>Persistenza gusto olfattiva</t>
  </si>
  <si>
    <t>Intensità gusto - olfattiva</t>
  </si>
  <si>
    <t>Affinità aromatica</t>
  </si>
  <si>
    <t>Abbinamento</t>
  </si>
  <si>
    <t>Poco affine</t>
  </si>
  <si>
    <t>Mediamente affine</t>
  </si>
  <si>
    <t>Affine</t>
  </si>
  <si>
    <t>Poco armonico</t>
  </si>
  <si>
    <t>Abbastanza armonico</t>
  </si>
  <si>
    <t>Armonico</t>
  </si>
  <si>
    <t xml:space="preserve"> INTENSITA' GUSTO OLFATTIVA</t>
  </si>
  <si>
    <t xml:space="preserve"> PERSISTENZA GUSTO OLFATTIVA</t>
  </si>
  <si>
    <t>Struttura del cibo</t>
  </si>
  <si>
    <t>NUOVA SCHEDA GRAFICA DI ABBINAMENTO</t>
  </si>
  <si>
    <t>METODO MERCADINI AIS</t>
  </si>
</sst>
</file>

<file path=xl/styles.xml><?xml version="1.0" encoding="utf-8"?>
<styleSheet xmlns="http://schemas.openxmlformats.org/spreadsheetml/2006/main">
  <fonts count="27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10"/>
      <color indexed="10"/>
      <name val="Arial"/>
    </font>
    <font>
      <sz val="8"/>
      <color indexed="10"/>
      <name val="Arial"/>
      <family val="2"/>
    </font>
    <font>
      <sz val="8"/>
      <color indexed="12"/>
      <name val="Arial"/>
      <family val="2"/>
    </font>
    <font>
      <sz val="7"/>
      <name val="Arial"/>
    </font>
    <font>
      <sz val="10"/>
      <name val="Arial"/>
      <family val="2"/>
    </font>
    <font>
      <sz val="1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7"/>
      <name val="Calibri"/>
      <family val="2"/>
      <scheme val="minor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3366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0" xfId="0" applyBorder="1"/>
    <xf numFmtId="2" fontId="0" fillId="0" borderId="0" xfId="0" applyNumberFormat="1" applyBorder="1"/>
    <xf numFmtId="0" fontId="8" fillId="0" borderId="0" xfId="0" applyFont="1" applyBorder="1"/>
    <xf numFmtId="0" fontId="11" fillId="0" borderId="0" xfId="0" applyFont="1"/>
    <xf numFmtId="0" fontId="11" fillId="0" borderId="0" xfId="0" applyFont="1" applyBorder="1"/>
    <xf numFmtId="0" fontId="0" fillId="0" borderId="0" xfId="0" applyProtection="1"/>
    <xf numFmtId="0" fontId="5" fillId="0" borderId="1" xfId="0" applyFont="1" applyBorder="1" applyAlignment="1" applyProtection="1">
      <alignment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vertical="center" wrapText="1"/>
    </xf>
    <xf numFmtId="0" fontId="5" fillId="0" borderId="4" xfId="0" applyFont="1" applyFill="1" applyBorder="1" applyAlignment="1" applyProtection="1">
      <alignment vertical="center"/>
    </xf>
    <xf numFmtId="0" fontId="5" fillId="0" borderId="1" xfId="0" applyFont="1" applyBorder="1" applyAlignment="1" applyProtection="1">
      <alignment vertical="center" wrapText="1"/>
    </xf>
    <xf numFmtId="0" fontId="5" fillId="0" borderId="5" xfId="0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vertical="center"/>
    </xf>
    <xf numFmtId="0" fontId="0" fillId="0" borderId="0" xfId="0" applyAlignment="1" applyProtection="1">
      <alignment horizontal="center"/>
    </xf>
    <xf numFmtId="0" fontId="5" fillId="0" borderId="4" xfId="0" applyFont="1" applyFill="1" applyBorder="1" applyAlignment="1" applyProtection="1">
      <alignment vertical="center" wrapText="1"/>
    </xf>
    <xf numFmtId="0" fontId="0" fillId="0" borderId="6" xfId="0" applyBorder="1" applyProtection="1"/>
    <xf numFmtId="0" fontId="0" fillId="0" borderId="7" xfId="0" applyBorder="1" applyProtection="1"/>
    <xf numFmtId="0" fontId="0" fillId="0" borderId="8" xfId="0" applyBorder="1" applyProtection="1"/>
    <xf numFmtId="0" fontId="0" fillId="0" borderId="3" xfId="0" applyBorder="1" applyProtection="1"/>
    <xf numFmtId="0" fontId="0" fillId="0" borderId="9" xfId="0" applyBorder="1" applyProtection="1"/>
    <xf numFmtId="0" fontId="5" fillId="0" borderId="4" xfId="0" applyFont="1" applyBorder="1" applyAlignment="1" applyProtection="1">
      <alignment vertical="center" wrapText="1"/>
    </xf>
    <xf numFmtId="0" fontId="0" fillId="0" borderId="10" xfId="0" applyBorder="1" applyProtection="1"/>
    <xf numFmtId="0" fontId="0" fillId="0" borderId="0" xfId="0" applyBorder="1" applyProtection="1"/>
    <xf numFmtId="0" fontId="0" fillId="0" borderId="11" xfId="0" applyBorder="1" applyProtection="1"/>
    <xf numFmtId="2" fontId="0" fillId="0" borderId="10" xfId="0" applyNumberFormat="1" applyBorder="1" applyProtection="1"/>
    <xf numFmtId="2" fontId="0" fillId="0" borderId="0" xfId="0" applyNumberFormat="1" applyBorder="1" applyProtection="1"/>
    <xf numFmtId="2" fontId="0" fillId="0" borderId="4" xfId="0" applyNumberFormat="1" applyBorder="1" applyProtection="1"/>
    <xf numFmtId="2" fontId="0" fillId="0" borderId="12" xfId="0" applyNumberFormat="1" applyBorder="1" applyProtection="1"/>
    <xf numFmtId="0" fontId="5" fillId="0" borderId="0" xfId="0" applyFont="1" applyBorder="1" applyProtection="1"/>
    <xf numFmtId="0" fontId="5" fillId="0" borderId="13" xfId="0" applyFont="1" applyFill="1" applyBorder="1" applyAlignment="1" applyProtection="1">
      <alignment vertical="center"/>
    </xf>
    <xf numFmtId="0" fontId="5" fillId="0" borderId="1" xfId="0" applyFont="1" applyBorder="1" applyAlignment="1" applyProtection="1">
      <alignment wrapText="1"/>
    </xf>
    <xf numFmtId="0" fontId="5" fillId="0" borderId="2" xfId="0" applyFont="1" applyFill="1" applyBorder="1" applyAlignment="1" applyProtection="1">
      <alignment vertical="center"/>
    </xf>
    <xf numFmtId="2" fontId="5" fillId="0" borderId="14" xfId="0" applyNumberFormat="1" applyFont="1" applyBorder="1" applyAlignment="1" applyProtection="1">
      <alignment horizontal="center" vertical="center"/>
    </xf>
    <xf numFmtId="0" fontId="0" fillId="0" borderId="15" xfId="0" applyBorder="1" applyProtection="1"/>
    <xf numFmtId="0" fontId="0" fillId="0" borderId="16" xfId="0" applyBorder="1" applyProtection="1"/>
    <xf numFmtId="2" fontId="0" fillId="0" borderId="15" xfId="0" applyNumberFormat="1" applyBorder="1" applyProtection="1"/>
    <xf numFmtId="2" fontId="0" fillId="0" borderId="16" xfId="0" applyNumberFormat="1" applyBorder="1" applyProtection="1"/>
    <xf numFmtId="0" fontId="0" fillId="0" borderId="17" xfId="0" applyBorder="1" applyProtection="1"/>
    <xf numFmtId="2" fontId="0" fillId="0" borderId="0" xfId="0" applyNumberFormat="1" applyProtection="1"/>
    <xf numFmtId="2" fontId="0" fillId="0" borderId="5" xfId="0" applyNumberFormat="1" applyBorder="1" applyProtection="1"/>
    <xf numFmtId="2" fontId="0" fillId="0" borderId="18" xfId="0" applyNumberFormat="1" applyBorder="1" applyProtection="1"/>
    <xf numFmtId="0" fontId="9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0" fontId="0" fillId="0" borderId="1" xfId="0" applyBorder="1" applyProtection="1"/>
    <xf numFmtId="0" fontId="0" fillId="0" borderId="14" xfId="0" applyBorder="1" applyProtection="1"/>
    <xf numFmtId="0" fontId="0" fillId="0" borderId="0" xfId="0" applyAlignment="1" applyProtection="1"/>
    <xf numFmtId="0" fontId="1" fillId="0" borderId="10" xfId="0" applyFont="1" applyBorder="1" applyProtection="1"/>
    <xf numFmtId="0" fontId="1" fillId="0" borderId="0" xfId="0" applyFont="1" applyBorder="1" applyProtection="1"/>
    <xf numFmtId="0" fontId="1" fillId="0" borderId="11" xfId="0" applyFont="1" applyBorder="1" applyProtection="1"/>
    <xf numFmtId="0" fontId="1" fillId="0" borderId="0" xfId="0" applyFont="1" applyProtection="1"/>
    <xf numFmtId="0" fontId="8" fillId="0" borderId="0" xfId="0" applyFont="1" applyBorder="1" applyProtection="1"/>
    <xf numFmtId="0" fontId="8" fillId="0" borderId="11" xfId="0" applyFont="1" applyBorder="1" applyProtection="1"/>
    <xf numFmtId="0" fontId="1" fillId="0" borderId="15" xfId="0" applyFont="1" applyBorder="1" applyProtection="1"/>
    <xf numFmtId="0" fontId="1" fillId="0" borderId="16" xfId="0" applyFont="1" applyBorder="1" applyProtection="1"/>
    <xf numFmtId="0" fontId="1" fillId="0" borderId="17" xfId="0" applyFont="1" applyBorder="1" applyProtection="1"/>
    <xf numFmtId="0" fontId="13" fillId="2" borderId="0" xfId="0" applyFont="1" applyFill="1"/>
    <xf numFmtId="0" fontId="16" fillId="2" borderId="19" xfId="0" applyFont="1" applyFill="1" applyBorder="1"/>
    <xf numFmtId="0" fontId="18" fillId="2" borderId="0" xfId="0" applyFont="1" applyFill="1"/>
    <xf numFmtId="0" fontId="13" fillId="0" borderId="16" xfId="0" applyFont="1" applyBorder="1"/>
    <xf numFmtId="0" fontId="19" fillId="0" borderId="0" xfId="0" applyFont="1" applyBorder="1"/>
    <xf numFmtId="0" fontId="18" fillId="0" borderId="0" xfId="0" applyFont="1" applyBorder="1"/>
    <xf numFmtId="0" fontId="13" fillId="0" borderId="0" xfId="0" applyFont="1" applyBorder="1"/>
    <xf numFmtId="0" fontId="17" fillId="0" borderId="0" xfId="0" applyFont="1" applyBorder="1" applyAlignment="1" applyProtection="1">
      <protection locked="0"/>
    </xf>
    <xf numFmtId="0" fontId="18" fillId="2" borderId="0" xfId="0" applyFont="1" applyFill="1" applyBorder="1"/>
    <xf numFmtId="0" fontId="18" fillId="0" borderId="16" xfId="0" applyFont="1" applyBorder="1"/>
    <xf numFmtId="0" fontId="20" fillId="0" borderId="21" xfId="0" applyFont="1" applyBorder="1" applyAlignment="1" applyProtection="1">
      <alignment horizontal="center"/>
      <protection locked="0"/>
    </xf>
    <xf numFmtId="0" fontId="18" fillId="0" borderId="16" xfId="0" applyFont="1" applyBorder="1" applyProtection="1">
      <protection locked="0"/>
    </xf>
    <xf numFmtId="0" fontId="17" fillId="0" borderId="16" xfId="0" applyFont="1" applyBorder="1" applyAlignment="1">
      <alignment horizontal="right"/>
    </xf>
    <xf numFmtId="0" fontId="13" fillId="0" borderId="0" xfId="0" applyFont="1"/>
    <xf numFmtId="0" fontId="20" fillId="0" borderId="0" xfId="0" applyFont="1" applyBorder="1" applyAlignment="1" applyProtection="1">
      <alignment horizontal="center"/>
      <protection locked="0"/>
    </xf>
    <xf numFmtId="0" fontId="18" fillId="0" borderId="0" xfId="0" applyFont="1" applyBorder="1" applyProtection="1">
      <protection locked="0"/>
    </xf>
    <xf numFmtId="0" fontId="18" fillId="0" borderId="0" xfId="0" applyFont="1" applyBorder="1" applyAlignment="1">
      <alignment horizontal="center"/>
    </xf>
    <xf numFmtId="0" fontId="17" fillId="0" borderId="0" xfId="0" applyFont="1" applyBorder="1" applyAlignment="1" applyProtection="1">
      <alignment horizontal="center"/>
      <protection locked="0"/>
    </xf>
    <xf numFmtId="0" fontId="18" fillId="0" borderId="7" xfId="0" applyFont="1" applyBorder="1" applyAlignment="1"/>
    <xf numFmtId="0" fontId="19" fillId="0" borderId="7" xfId="0" applyFont="1" applyBorder="1" applyAlignment="1"/>
    <xf numFmtId="0" fontId="18" fillId="0" borderId="0" xfId="0" applyFont="1" applyBorder="1" applyAlignment="1">
      <alignment horizontal="right"/>
    </xf>
    <xf numFmtId="20" fontId="17" fillId="0" borderId="16" xfId="0" applyNumberFormat="1" applyFont="1" applyBorder="1" applyAlignment="1" applyProtection="1">
      <protection locked="0"/>
    </xf>
    <xf numFmtId="0" fontId="17" fillId="2" borderId="0" xfId="0" applyFont="1" applyFill="1" applyBorder="1" applyAlignment="1" applyProtection="1">
      <protection locked="0"/>
    </xf>
    <xf numFmtId="0" fontId="18" fillId="0" borderId="0" xfId="0" applyFont="1" applyBorder="1" applyAlignment="1">
      <alignment horizontal="left"/>
    </xf>
    <xf numFmtId="0" fontId="22" fillId="0" borderId="0" xfId="0" applyFont="1" applyBorder="1"/>
    <xf numFmtId="0" fontId="13" fillId="0" borderId="19" xfId="0" applyFont="1" applyBorder="1"/>
    <xf numFmtId="0" fontId="18" fillId="2" borderId="19" xfId="0" applyFont="1" applyFill="1" applyBorder="1"/>
    <xf numFmtId="0" fontId="19" fillId="0" borderId="0" xfId="0" applyFont="1"/>
    <xf numFmtId="0" fontId="23" fillId="0" borderId="21" xfId="0" applyFont="1" applyBorder="1" applyAlignment="1" applyProtection="1">
      <alignment horizontal="center"/>
      <protection locked="0"/>
    </xf>
    <xf numFmtId="0" fontId="24" fillId="0" borderId="0" xfId="0" applyFont="1" applyBorder="1" applyAlignment="1"/>
    <xf numFmtId="0" fontId="19" fillId="0" borderId="0" xfId="0" applyFont="1" applyBorder="1" applyAlignment="1"/>
    <xf numFmtId="0" fontId="23" fillId="0" borderId="0" xfId="0" applyFont="1" applyBorder="1" applyAlignment="1"/>
    <xf numFmtId="0" fontId="13" fillId="0" borderId="0" xfId="0" applyFont="1" applyAlignme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3" fillId="0" borderId="0" xfId="0" applyFont="1" applyAlignment="1"/>
    <xf numFmtId="0" fontId="23" fillId="0" borderId="0" xfId="0" applyFont="1"/>
    <xf numFmtId="0" fontId="25" fillId="0" borderId="0" xfId="0" applyFont="1"/>
    <xf numFmtId="0" fontId="19" fillId="0" borderId="0" xfId="0" applyFont="1" applyBorder="1" applyAlignment="1">
      <alignment horizontal="center"/>
    </xf>
    <xf numFmtId="0" fontId="19" fillId="0" borderId="16" xfId="0" applyFont="1" applyBorder="1"/>
    <xf numFmtId="0" fontId="19" fillId="0" borderId="16" xfId="0" applyFont="1" applyBorder="1" applyAlignment="1">
      <alignment horizontal="right"/>
    </xf>
    <xf numFmtId="0" fontId="19" fillId="0" borderId="16" xfId="0" applyFont="1" applyBorder="1" applyAlignment="1">
      <alignment horizontal="center"/>
    </xf>
    <xf numFmtId="0" fontId="13" fillId="0" borderId="22" xfId="0" applyFont="1" applyBorder="1" applyProtection="1"/>
    <xf numFmtId="0" fontId="18" fillId="0" borderId="22" xfId="0" applyFont="1" applyBorder="1" applyAlignment="1" applyProtection="1"/>
    <xf numFmtId="0" fontId="18" fillId="0" borderId="22" xfId="0" applyFont="1" applyBorder="1" applyProtection="1"/>
    <xf numFmtId="0" fontId="18" fillId="0" borderId="22" xfId="0" applyFont="1" applyBorder="1" applyAlignment="1" applyProtection="1">
      <alignment horizontal="center"/>
    </xf>
    <xf numFmtId="0" fontId="18" fillId="2" borderId="0" xfId="0" applyFont="1" applyFill="1" applyBorder="1" applyAlignment="1" applyProtection="1">
      <alignment horizontal="left"/>
    </xf>
    <xf numFmtId="0" fontId="13" fillId="0" borderId="0" xfId="0" applyFont="1" applyProtection="1"/>
    <xf numFmtId="0" fontId="18" fillId="0" borderId="0" xfId="0" applyFont="1" applyProtection="1"/>
    <xf numFmtId="0" fontId="18" fillId="0" borderId="0" xfId="0" applyFont="1" applyProtection="1">
      <protection locked="0"/>
    </xf>
    <xf numFmtId="0" fontId="13" fillId="2" borderId="0" xfId="0" applyFont="1" applyFill="1" applyProtection="1"/>
    <xf numFmtId="0" fontId="13" fillId="2" borderId="0" xfId="0" applyFont="1" applyFill="1" applyBorder="1" applyProtection="1"/>
    <xf numFmtId="0" fontId="18" fillId="0" borderId="0" xfId="0" applyFont="1" applyAlignment="1" applyProtection="1">
      <alignment horizontal="left"/>
    </xf>
    <xf numFmtId="0" fontId="23" fillId="0" borderId="0" xfId="0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2" borderId="0" xfId="0" applyFont="1" applyFill="1" applyBorder="1" applyProtection="1"/>
    <xf numFmtId="0" fontId="19" fillId="2" borderId="0" xfId="0" applyFont="1" applyFill="1" applyBorder="1" applyProtection="1"/>
    <xf numFmtId="0" fontId="12" fillId="0" borderId="0" xfId="0" applyFont="1" applyProtection="1"/>
    <xf numFmtId="0" fontId="24" fillId="0" borderId="11" xfId="0" applyFont="1" applyBorder="1" applyAlignment="1"/>
    <xf numFmtId="0" fontId="23" fillId="0" borderId="16" xfId="0" applyFont="1" applyBorder="1" applyAlignment="1" applyProtection="1">
      <alignment horizontal="center"/>
      <protection locked="0"/>
    </xf>
    <xf numFmtId="0" fontId="23" fillId="0" borderId="0" xfId="0" applyFont="1" applyBorder="1" applyAlignment="1" applyProtection="1">
      <alignment horizontal="center"/>
      <protection locked="0"/>
    </xf>
    <xf numFmtId="0" fontId="23" fillId="0" borderId="0" xfId="0" applyFont="1" applyBorder="1" applyAlignment="1">
      <alignment vertical="top" wrapText="1"/>
    </xf>
    <xf numFmtId="0" fontId="22" fillId="0" borderId="16" xfId="0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22" fillId="0" borderId="10" xfId="0" applyFont="1" applyBorder="1" applyAlignment="1">
      <alignment horizontal="left"/>
    </xf>
    <xf numFmtId="0" fontId="22" fillId="0" borderId="10" xfId="0" applyFont="1" applyBorder="1" applyAlignment="1"/>
    <xf numFmtId="0" fontId="3" fillId="0" borderId="0" xfId="0" applyFont="1"/>
    <xf numFmtId="0" fontId="22" fillId="0" borderId="0" xfId="0" applyFont="1"/>
    <xf numFmtId="0" fontId="22" fillId="0" borderId="0" xfId="0" applyFont="1" applyBorder="1" applyAlignment="1"/>
    <xf numFmtId="0" fontId="26" fillId="0" borderId="0" xfId="0" applyFont="1"/>
    <xf numFmtId="0" fontId="24" fillId="0" borderId="0" xfId="0" applyFont="1" applyAlignment="1">
      <alignment horizontal="right"/>
    </xf>
    <xf numFmtId="0" fontId="0" fillId="0" borderId="19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3" fillId="0" borderId="2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3" fillId="0" borderId="19" xfId="0" applyFont="1" applyBorder="1" applyAlignment="1" applyProtection="1">
      <alignment horizontal="center"/>
    </xf>
    <xf numFmtId="0" fontId="3" fillId="0" borderId="18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center" wrapText="1"/>
    </xf>
    <xf numFmtId="0" fontId="24" fillId="2" borderId="0" xfId="0" applyFont="1" applyFill="1" applyBorder="1" applyAlignment="1" applyProtection="1">
      <alignment horizontal="left"/>
      <protection locked="0"/>
    </xf>
    <xf numFmtId="0" fontId="18" fillId="2" borderId="0" xfId="0" applyFont="1" applyFill="1" applyBorder="1" applyAlignment="1" applyProtection="1">
      <alignment horizontal="center"/>
    </xf>
    <xf numFmtId="0" fontId="18" fillId="0" borderId="22" xfId="0" applyFont="1" applyBorder="1" applyAlignment="1" applyProtection="1">
      <alignment horizontal="center"/>
    </xf>
    <xf numFmtId="0" fontId="23" fillId="0" borderId="22" xfId="0" applyFont="1" applyBorder="1" applyAlignment="1" applyProtection="1">
      <alignment horizontal="center"/>
    </xf>
    <xf numFmtId="2" fontId="23" fillId="0" borderId="22" xfId="0" applyNumberFormat="1" applyFont="1" applyBorder="1" applyAlignment="1" applyProtection="1">
      <alignment horizontal="center"/>
    </xf>
    <xf numFmtId="0" fontId="13" fillId="0" borderId="1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/>
    </xf>
    <xf numFmtId="0" fontId="18" fillId="0" borderId="16" xfId="0" applyFont="1" applyBorder="1" applyAlignment="1">
      <alignment horizontal="center"/>
    </xf>
    <xf numFmtId="0" fontId="17" fillId="0" borderId="16" xfId="0" applyFont="1" applyBorder="1" applyAlignment="1" applyProtection="1">
      <alignment horizontal="center"/>
      <protection locked="0"/>
    </xf>
    <xf numFmtId="0" fontId="17" fillId="0" borderId="16" xfId="0" applyFont="1" applyBorder="1" applyAlignment="1" applyProtection="1">
      <alignment horizontal="left"/>
      <protection locked="0"/>
    </xf>
    <xf numFmtId="14" fontId="21" fillId="0" borderId="16" xfId="0" applyNumberFormat="1" applyFont="1" applyBorder="1" applyAlignment="1" applyProtection="1">
      <alignment horizontal="left"/>
      <protection locked="0"/>
    </xf>
    <xf numFmtId="2" fontId="17" fillId="0" borderId="16" xfId="0" applyNumberFormat="1" applyFont="1" applyBorder="1" applyAlignment="1" applyProtection="1">
      <alignment horizontal="left"/>
      <protection locked="0"/>
    </xf>
    <xf numFmtId="0" fontId="23" fillId="0" borderId="0" xfId="0" applyFont="1" applyBorder="1" applyAlignment="1">
      <alignment horizontal="center"/>
    </xf>
  </cellXfs>
  <cellStyles count="1">
    <cellStyle name="Normale" xfId="0" builtinId="0"/>
  </cellStyles>
  <dxfs count="2">
    <dxf>
      <font>
        <condense val="0"/>
        <extend val="0"/>
        <color indexed="12"/>
      </font>
      <fill>
        <patternFill patternType="none">
          <fgColor indexed="64"/>
          <bgColor indexed="65"/>
        </patternFill>
      </fill>
    </dxf>
    <dxf>
      <font>
        <condense val="0"/>
        <extend val="0"/>
        <color indexed="10"/>
      </font>
      <fill>
        <patternFill patternType="none">
          <bgColor indexed="6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0.20437992625870727"/>
          <c:y val="0.12463803396182629"/>
          <c:w val="0.72262902498614545"/>
          <c:h val="0.73623396805357888"/>
        </c:manualLayout>
      </c:layout>
      <c:scatterChart>
        <c:scatterStyle val="lineMarker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calcolo!$P$12:$P$25</c:f>
              <c:numCache>
                <c:formatCode>0.00</c:formatCode>
                <c:ptCount val="14"/>
                <c:pt idx="0">
                  <c:v>10.007547095802227</c:v>
                </c:pt>
                <c:pt idx="1">
                  <c:v>10.009455185755993</c:v>
                </c:pt>
                <c:pt idx="2">
                  <c:v>10.001908089953766</c:v>
                </c:pt>
                <c:pt idx="3">
                  <c:v>9.9980919100462344</c:v>
                </c:pt>
                <c:pt idx="4">
                  <c:v>9.9905448142440072</c:v>
                </c:pt>
                <c:pt idx="5">
                  <c:v>9.9924529041977728</c:v>
                </c:pt>
                <c:pt idx="6">
                  <c:v>10.007547095802227</c:v>
                </c:pt>
                <c:pt idx="7" formatCode="General">
                  <c:v>10.754709580222773</c:v>
                </c:pt>
                <c:pt idx="8" formatCode="General">
                  <c:v>10.945518575599317</c:v>
                </c:pt>
                <c:pt idx="9" formatCode="General">
                  <c:v>10.190808995376544</c:v>
                </c:pt>
                <c:pt idx="10" formatCode="General">
                  <c:v>9.8091910046234556</c:v>
                </c:pt>
                <c:pt idx="11" formatCode="General">
                  <c:v>9.0544814244006826</c:v>
                </c:pt>
                <c:pt idx="12" formatCode="General">
                  <c:v>9.245290419777227</c:v>
                </c:pt>
                <c:pt idx="13" formatCode="General">
                  <c:v>10.754709580222773</c:v>
                </c:pt>
              </c:numCache>
            </c:numRef>
          </c:xVal>
          <c:yVal>
            <c:numRef>
              <c:f>calcolo!$Q$12:$Q$25</c:f>
              <c:numCache>
                <c:formatCode>0.00</c:formatCode>
                <c:ptCount val="14"/>
                <c:pt idx="0">
                  <c:v>10.006560590289904</c:v>
                </c:pt>
                <c:pt idx="1">
                  <c:v>10.003255681544571</c:v>
                </c:pt>
                <c:pt idx="2">
                  <c:v>9.9901837281655261</c:v>
                </c:pt>
                <c:pt idx="3">
                  <c:v>9.9901837281655261</c:v>
                </c:pt>
                <c:pt idx="4">
                  <c:v>10.003255681544573</c:v>
                </c:pt>
                <c:pt idx="5">
                  <c:v>10.006560590289903</c:v>
                </c:pt>
                <c:pt idx="6">
                  <c:v>10.006560590289904</c:v>
                </c:pt>
              </c:numCache>
            </c:numRef>
          </c:yVal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calcolo!$P$12:$P$25</c:f>
              <c:numCache>
                <c:formatCode>0.00</c:formatCode>
                <c:ptCount val="14"/>
                <c:pt idx="0">
                  <c:v>10.007547095802227</c:v>
                </c:pt>
                <c:pt idx="1">
                  <c:v>10.009455185755993</c:v>
                </c:pt>
                <c:pt idx="2">
                  <c:v>10.001908089953766</c:v>
                </c:pt>
                <c:pt idx="3">
                  <c:v>9.9980919100462344</c:v>
                </c:pt>
                <c:pt idx="4">
                  <c:v>9.9905448142440072</c:v>
                </c:pt>
                <c:pt idx="5">
                  <c:v>9.9924529041977728</c:v>
                </c:pt>
                <c:pt idx="6">
                  <c:v>10.007547095802227</c:v>
                </c:pt>
                <c:pt idx="7" formatCode="General">
                  <c:v>10.754709580222773</c:v>
                </c:pt>
                <c:pt idx="8" formatCode="General">
                  <c:v>10.945518575599317</c:v>
                </c:pt>
                <c:pt idx="9" formatCode="General">
                  <c:v>10.190808995376544</c:v>
                </c:pt>
                <c:pt idx="10" formatCode="General">
                  <c:v>9.8091910046234556</c:v>
                </c:pt>
                <c:pt idx="11" formatCode="General">
                  <c:v>9.0544814244006826</c:v>
                </c:pt>
                <c:pt idx="12" formatCode="General">
                  <c:v>9.245290419777227</c:v>
                </c:pt>
                <c:pt idx="13" formatCode="General">
                  <c:v>10.754709580222773</c:v>
                </c:pt>
              </c:numCache>
            </c:numRef>
          </c:xVal>
          <c:yVal>
            <c:numRef>
              <c:f>calcolo!$R$12:$R$25</c:f>
              <c:numCache>
                <c:formatCode>General</c:formatCode>
                <c:ptCount val="14"/>
                <c:pt idx="7">
                  <c:v>11</c:v>
                </c:pt>
                <c:pt idx="8">
                  <c:v>10.325568154457157</c:v>
                </c:pt>
                <c:pt idx="9">
                  <c:v>9.0183728165523362</c:v>
                </c:pt>
                <c:pt idx="10">
                  <c:v>9.0183728165523362</c:v>
                </c:pt>
                <c:pt idx="11">
                  <c:v>10.325568154457157</c:v>
                </c:pt>
                <c:pt idx="12">
                  <c:v>11</c:v>
                </c:pt>
                <c:pt idx="13">
                  <c:v>11</c:v>
                </c:pt>
              </c:numCache>
            </c:numRef>
          </c:yVal>
        </c:ser>
        <c:axId val="118933760"/>
        <c:axId val="118939648"/>
      </c:scatterChart>
      <c:valAx>
        <c:axId val="118933760"/>
        <c:scaling>
          <c:orientation val="minMax"/>
          <c:max val="20"/>
        </c:scaling>
        <c:axPos val="b"/>
        <c:numFmt formatCode="0.0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18939648"/>
        <c:crosses val="autoZero"/>
        <c:crossBetween val="midCat"/>
        <c:majorUnit val="5"/>
      </c:valAx>
      <c:valAx>
        <c:axId val="118939648"/>
        <c:scaling>
          <c:orientation val="minMax"/>
          <c:max val="20"/>
        </c:scaling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18933760"/>
        <c:crosses val="autoZero"/>
        <c:crossBetween val="midCat"/>
        <c:majorUnit val="5"/>
        <c:minorUnit val="1"/>
      </c:valAx>
      <c:spPr>
        <a:noFill/>
        <a:ln w="3175">
          <a:solidFill>
            <a:srgbClr val="FFFFFF"/>
          </a:solidFill>
          <a:prstDash val="lgDash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000000000000089" r="0.75000000000000089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7.7087794432548359E-2"/>
          <c:y val="5.2896790500027817E-2"/>
          <c:w val="0.84796573875802994"/>
          <c:h val="0.91435880721476404"/>
        </c:manualLayout>
      </c:layout>
      <c:scatterChart>
        <c:scatterStyle val="lineMarker"/>
        <c:ser>
          <c:idx val="0"/>
          <c:order val="0"/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calcolo!$P$12:$P$25</c:f>
              <c:numCache>
                <c:formatCode>0.00</c:formatCode>
                <c:ptCount val="14"/>
                <c:pt idx="0">
                  <c:v>10.007547095802227</c:v>
                </c:pt>
                <c:pt idx="1">
                  <c:v>10.009455185755993</c:v>
                </c:pt>
                <c:pt idx="2">
                  <c:v>10.001908089953766</c:v>
                </c:pt>
                <c:pt idx="3">
                  <c:v>9.9980919100462344</c:v>
                </c:pt>
                <c:pt idx="4">
                  <c:v>9.9905448142440072</c:v>
                </c:pt>
                <c:pt idx="5">
                  <c:v>9.9924529041977728</c:v>
                </c:pt>
                <c:pt idx="6">
                  <c:v>10.007547095802227</c:v>
                </c:pt>
                <c:pt idx="7" formatCode="General">
                  <c:v>10.754709580222773</c:v>
                </c:pt>
                <c:pt idx="8" formatCode="General">
                  <c:v>10.945518575599317</c:v>
                </c:pt>
                <c:pt idx="9" formatCode="General">
                  <c:v>10.190808995376544</c:v>
                </c:pt>
                <c:pt idx="10" formatCode="General">
                  <c:v>9.8091910046234556</c:v>
                </c:pt>
                <c:pt idx="11" formatCode="General">
                  <c:v>9.0544814244006826</c:v>
                </c:pt>
                <c:pt idx="12" formatCode="General">
                  <c:v>9.245290419777227</c:v>
                </c:pt>
                <c:pt idx="13" formatCode="General">
                  <c:v>10.754709580222773</c:v>
                </c:pt>
              </c:numCache>
            </c:numRef>
          </c:xVal>
          <c:yVal>
            <c:numRef>
              <c:f>calcolo!$Q$12:$Q$25</c:f>
              <c:numCache>
                <c:formatCode>0.00</c:formatCode>
                <c:ptCount val="14"/>
                <c:pt idx="0">
                  <c:v>10.006560590289904</c:v>
                </c:pt>
                <c:pt idx="1">
                  <c:v>10.003255681544571</c:v>
                </c:pt>
                <c:pt idx="2">
                  <c:v>9.9901837281655261</c:v>
                </c:pt>
                <c:pt idx="3">
                  <c:v>9.9901837281655261</c:v>
                </c:pt>
                <c:pt idx="4">
                  <c:v>10.003255681544573</c:v>
                </c:pt>
                <c:pt idx="5">
                  <c:v>10.006560590289903</c:v>
                </c:pt>
                <c:pt idx="6">
                  <c:v>10.006560590289904</c:v>
                </c:pt>
              </c:numCache>
            </c:numRef>
          </c:yVal>
        </c:ser>
        <c:ser>
          <c:idx val="1"/>
          <c:order val="1"/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calcolo!$P$12:$P$25</c:f>
              <c:numCache>
                <c:formatCode>0.00</c:formatCode>
                <c:ptCount val="14"/>
                <c:pt idx="0">
                  <c:v>10.007547095802227</c:v>
                </c:pt>
                <c:pt idx="1">
                  <c:v>10.009455185755993</c:v>
                </c:pt>
                <c:pt idx="2">
                  <c:v>10.001908089953766</c:v>
                </c:pt>
                <c:pt idx="3">
                  <c:v>9.9980919100462344</c:v>
                </c:pt>
                <c:pt idx="4">
                  <c:v>9.9905448142440072</c:v>
                </c:pt>
                <c:pt idx="5">
                  <c:v>9.9924529041977728</c:v>
                </c:pt>
                <c:pt idx="6">
                  <c:v>10.007547095802227</c:v>
                </c:pt>
                <c:pt idx="7" formatCode="General">
                  <c:v>10.754709580222773</c:v>
                </c:pt>
                <c:pt idx="8" formatCode="General">
                  <c:v>10.945518575599317</c:v>
                </c:pt>
                <c:pt idx="9" formatCode="General">
                  <c:v>10.190808995376544</c:v>
                </c:pt>
                <c:pt idx="10" formatCode="General">
                  <c:v>9.8091910046234556</c:v>
                </c:pt>
                <c:pt idx="11" formatCode="General">
                  <c:v>9.0544814244006826</c:v>
                </c:pt>
                <c:pt idx="12" formatCode="General">
                  <c:v>9.245290419777227</c:v>
                </c:pt>
                <c:pt idx="13" formatCode="General">
                  <c:v>10.754709580222773</c:v>
                </c:pt>
              </c:numCache>
            </c:numRef>
          </c:xVal>
          <c:yVal>
            <c:numRef>
              <c:f>calcolo!$R$12:$R$25</c:f>
              <c:numCache>
                <c:formatCode>General</c:formatCode>
                <c:ptCount val="14"/>
                <c:pt idx="7">
                  <c:v>11</c:v>
                </c:pt>
                <c:pt idx="8">
                  <c:v>10.325568154457157</c:v>
                </c:pt>
                <c:pt idx="9">
                  <c:v>9.0183728165523362</c:v>
                </c:pt>
                <c:pt idx="10">
                  <c:v>9.0183728165523362</c:v>
                </c:pt>
                <c:pt idx="11">
                  <c:v>10.325568154457157</c:v>
                </c:pt>
                <c:pt idx="12">
                  <c:v>11</c:v>
                </c:pt>
                <c:pt idx="13">
                  <c:v>11</c:v>
                </c:pt>
              </c:numCache>
            </c:numRef>
          </c:yVal>
        </c:ser>
        <c:axId val="182043392"/>
        <c:axId val="182044928"/>
      </c:scatterChart>
      <c:valAx>
        <c:axId val="182043392"/>
        <c:scaling>
          <c:orientation val="minMax"/>
          <c:max val="20"/>
        </c:scaling>
        <c:delete val="1"/>
        <c:axPos val="b"/>
        <c:numFmt formatCode="0.00" sourceLinked="1"/>
        <c:tickLblPos val="none"/>
        <c:crossAx val="182044928"/>
        <c:crosses val="autoZero"/>
        <c:crossBetween val="midCat"/>
        <c:majorUnit val="5"/>
      </c:valAx>
      <c:valAx>
        <c:axId val="182044928"/>
        <c:scaling>
          <c:orientation val="minMax"/>
          <c:max val="20"/>
        </c:scaling>
        <c:delete val="1"/>
        <c:axPos val="l"/>
        <c:numFmt formatCode="0.00" sourceLinked="1"/>
        <c:tickLblPos val="none"/>
        <c:crossAx val="182043392"/>
        <c:crosses val="autoZero"/>
        <c:crossBetween val="midCat"/>
        <c:majorUnit val="5"/>
        <c:minorUnit val="1"/>
      </c:valAx>
      <c:spPr>
        <a:noFill/>
        <a:ln w="3175">
          <a:solidFill>
            <a:srgbClr val="FFFFFF"/>
          </a:solidFill>
          <a:prstDash val="lgDash"/>
        </a:ln>
      </c:spPr>
    </c:plotArea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000000000000089" r="0.75000000000000089" t="1" header="0.5" footer="0.5"/>
    <c:pageSetup paperSize="9" orientation="landscape" horizontalDpi="0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209550</xdr:colOff>
      <xdr:row>0</xdr:row>
      <xdr:rowOff>133350</xdr:rowOff>
    </xdr:from>
    <xdr:to>
      <xdr:col>8</xdr:col>
      <xdr:colOff>95250</xdr:colOff>
      <xdr:row>7</xdr:row>
      <xdr:rowOff>114300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133350"/>
          <a:ext cx="0" cy="1419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dati 2 punti (a;b) e (c;d) la retta passante ha i parametri</a:t>
          </a:r>
        </a:p>
        <a:p>
          <a:pPr algn="l" rtl="1">
            <a:defRPr sz="1000"/>
          </a:pPr>
          <a:endParaRPr lang="it-IT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m=(d-b)/(c-a)</a:t>
          </a:r>
        </a:p>
        <a:p>
          <a:pPr algn="l" rtl="1">
            <a:defRPr sz="1000"/>
          </a:pP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q=b-am</a:t>
          </a:r>
        </a:p>
      </xdr:txBody>
    </xdr:sp>
    <xdr:clientData/>
  </xdr:twoCellAnchor>
  <xdr:twoCellAnchor>
    <xdr:from>
      <xdr:col>23</xdr:col>
      <xdr:colOff>514350</xdr:colOff>
      <xdr:row>6</xdr:row>
      <xdr:rowOff>95250</xdr:rowOff>
    </xdr:from>
    <xdr:to>
      <xdr:col>28</xdr:col>
      <xdr:colOff>76200</xdr:colOff>
      <xdr:row>23</xdr:row>
      <xdr:rowOff>19050</xdr:rowOff>
    </xdr:to>
    <xdr:graphicFrame macro="">
      <xdr:nvGraphicFramePr>
        <xdr:cNvPr id="310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19050</xdr:rowOff>
    </xdr:from>
    <xdr:to>
      <xdr:col>9</xdr:col>
      <xdr:colOff>247650</xdr:colOff>
      <xdr:row>22</xdr:row>
      <xdr:rowOff>114300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38100" y="19050"/>
          <a:ext cx="5695950" cy="55911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Note operative:</a:t>
          </a:r>
        </a:p>
        <a:p>
          <a:pPr algn="l" rtl="1">
            <a:defRPr sz="1000"/>
          </a:pP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La scheda di abbinamento cibo-vino è ripresa, per quanto possibile, dalla scheda AIS.</a:t>
          </a:r>
        </a:p>
        <a:p>
          <a:pPr algn="l" rtl="1">
            <a:defRPr sz="1000"/>
          </a:pP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Il foglio di lavoro è quello denominato 'scheda', il foglio denominato calcolo contiene l'elaborazione dei grafici. </a:t>
          </a:r>
        </a:p>
        <a:p>
          <a:pPr algn="l" rtl="1">
            <a:defRPr sz="1000"/>
          </a:pP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Altri fogli possono essere inseriti per archiviare le scede elaborate.</a:t>
          </a:r>
        </a:p>
        <a:p>
          <a:pPr algn="l" rtl="1">
            <a:defRPr sz="1000"/>
          </a:pPr>
          <a:endParaRPr lang="it-IT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E' possibile, inserendo i valori di valutazione direttamente nella casella, ottenere i due grafici cibo e vino, l'indicazione di quale area è maggiore e la differenza.</a:t>
          </a:r>
        </a:p>
        <a:p>
          <a:pPr algn="l" rtl="1">
            <a:defRPr sz="1000"/>
          </a:pPr>
          <a:endParaRPr lang="it-IT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E' possibile immettere dati da 0 a 10, oppure lasciare vuota la casella (usando canc).</a:t>
          </a:r>
        </a:p>
        <a:p>
          <a:pPr algn="l" rtl="1">
            <a:defRPr sz="1000"/>
          </a:pPr>
          <a:endParaRPr lang="it-IT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Inserendo i dati fissi ( righe in alto) e inserendo 'X' nelle caselle in basso  si può ottenere in stampa(*)  la scheda completa.</a:t>
          </a:r>
        </a:p>
        <a:p>
          <a:pPr algn="l" rtl="1">
            <a:defRPr sz="1000"/>
          </a:pPr>
          <a:endParaRPr lang="it-IT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it-IT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Sono a disposizione 2 funzioni (macro)</a:t>
          </a:r>
        </a:p>
        <a:p>
          <a:pPr algn="l" rtl="1">
            <a:defRPr sz="1000"/>
          </a:pP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ctrl+a : cancella i dati fissi</a:t>
          </a:r>
        </a:p>
        <a:p>
          <a:pPr algn="l" rtl="1">
            <a:defRPr sz="1000"/>
          </a:pP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ctrl+z : cancella i valori di valutazione </a:t>
          </a:r>
        </a:p>
        <a:p>
          <a:pPr algn="l" rtl="1">
            <a:defRPr sz="1000"/>
          </a:pPr>
          <a:endParaRPr lang="it-IT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Per archiviare la scheda si consiglia di inserire nuovo foglio, selezionare tutta la scheda, copiare come immagine (Maiuscolo+modifica,  copia immagine), incollare su nuovo foglio. </a:t>
          </a:r>
        </a:p>
        <a:p>
          <a:pPr algn="l" rtl="1">
            <a:defRPr sz="1000"/>
          </a:pP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si possono anche usare 2 macro</a:t>
          </a:r>
        </a:p>
        <a:p>
          <a:pPr algn="l" rtl="1">
            <a:defRPr sz="1000"/>
          </a:pP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posizionarsi su foglio 'vuoto',  ctrl+n genera un altro foglio di calcolo</a:t>
          </a:r>
        </a:p>
        <a:p>
          <a:pPr algn="l" rtl="1">
            <a:defRPr sz="1000"/>
          </a:pP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posizionarsi su 'scheda' , ctrl+c copia l'intera scheda, poi ritornare sul nuovo foglio e fare incolla.</a:t>
          </a:r>
        </a:p>
        <a:p>
          <a:pPr algn="l" rtl="1">
            <a:defRPr sz="1000"/>
          </a:pP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una volta fatta la copia si consiglia di rinominare il nuovo foglio con la scheda compilata.</a:t>
          </a:r>
        </a:p>
        <a:p>
          <a:pPr algn="l" rtl="1">
            <a:defRPr sz="1000"/>
          </a:pPr>
          <a:endParaRPr lang="it-IT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Per portare la scheda compilata in altro elaborato Microsoft Office (per es. una presentazione Power Point) si può utilizzare la macro ctrl+c, quindi spostarsi su altro lavoro e fare incolla.</a:t>
          </a:r>
        </a:p>
        <a:p>
          <a:pPr algn="l" rtl="1">
            <a:defRPr sz="1000"/>
          </a:pPr>
          <a:endParaRPr lang="it-IT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it-IT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(*) in alcune stampanti non sono correttamente rispettate le proporzioni orizzontali e verticali. Ciò non implica differenze nel conteggio numerico delle aree </a:t>
          </a:r>
        </a:p>
        <a:p>
          <a:pPr algn="l" rtl="1">
            <a:defRPr sz="1000"/>
          </a:pPr>
          <a:endParaRPr lang="it-IT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it-IT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81</xdr:col>
      <xdr:colOff>133350</xdr:colOff>
      <xdr:row>15</xdr:row>
      <xdr:rowOff>76200</xdr:rowOff>
    </xdr:from>
    <xdr:to>
      <xdr:col>88</xdr:col>
      <xdr:colOff>200025</xdr:colOff>
      <xdr:row>38</xdr:row>
      <xdr:rowOff>28575</xdr:rowOff>
    </xdr:to>
    <xdr:sp macro="" textlink="">
      <xdr:nvSpPr>
        <xdr:cNvPr id="6450" name="Oval 1049"/>
        <xdr:cNvSpPr>
          <a:spLocks noChangeAspect="1" noChangeArrowheads="1"/>
        </xdr:cNvSpPr>
      </xdr:nvSpPr>
      <xdr:spPr bwMode="auto">
        <a:xfrm>
          <a:off x="30070425" y="2438400"/>
          <a:ext cx="4333875" cy="3457575"/>
        </a:xfrm>
        <a:prstGeom prst="ellipse">
          <a:avLst/>
        </a:prstGeom>
        <a:solidFill>
          <a:srgbClr val="FFFFFF">
            <a:alpha val="9019"/>
          </a:srgbClr>
        </a:solidFill>
        <a:ln w="3175" cap="rnd" algn="ctr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7</xdr:col>
      <xdr:colOff>85725</xdr:colOff>
      <xdr:row>13</xdr:row>
      <xdr:rowOff>9525</xdr:rowOff>
    </xdr:from>
    <xdr:to>
      <xdr:col>36</xdr:col>
      <xdr:colOff>66675</xdr:colOff>
      <xdr:row>37</xdr:row>
      <xdr:rowOff>133350</xdr:rowOff>
    </xdr:to>
    <xdr:graphicFrame macro="">
      <xdr:nvGraphicFramePr>
        <xdr:cNvPr id="6451" name="Chart 1026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20</xdr:row>
      <xdr:rowOff>142875</xdr:rowOff>
    </xdr:from>
    <xdr:to>
      <xdr:col>36</xdr:col>
      <xdr:colOff>123825</xdr:colOff>
      <xdr:row>25</xdr:row>
      <xdr:rowOff>114300</xdr:rowOff>
    </xdr:to>
    <xdr:sp macro="" textlink="">
      <xdr:nvSpPr>
        <xdr:cNvPr id="6452" name="Line 1027"/>
        <xdr:cNvSpPr>
          <a:spLocks noChangeShapeType="1"/>
        </xdr:cNvSpPr>
      </xdr:nvSpPr>
      <xdr:spPr bwMode="auto">
        <a:xfrm flipV="1">
          <a:off x="3362325" y="3267075"/>
          <a:ext cx="2247900" cy="7334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190500</xdr:colOff>
      <xdr:row>13</xdr:row>
      <xdr:rowOff>95250</xdr:rowOff>
    </xdr:from>
    <xdr:to>
      <xdr:col>21</xdr:col>
      <xdr:colOff>57150</xdr:colOff>
      <xdr:row>25</xdr:row>
      <xdr:rowOff>114300</xdr:rowOff>
    </xdr:to>
    <xdr:sp macro="" textlink="">
      <xdr:nvSpPr>
        <xdr:cNvPr id="6453" name="Line 1028"/>
        <xdr:cNvSpPr>
          <a:spLocks noChangeShapeType="1"/>
        </xdr:cNvSpPr>
      </xdr:nvSpPr>
      <xdr:spPr bwMode="auto">
        <a:xfrm>
          <a:off x="1009650" y="2152650"/>
          <a:ext cx="2343150" cy="18478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19050</xdr:colOff>
      <xdr:row>21</xdr:row>
      <xdr:rowOff>9525</xdr:rowOff>
    </xdr:from>
    <xdr:to>
      <xdr:col>22</xdr:col>
      <xdr:colOff>0</xdr:colOff>
      <xdr:row>25</xdr:row>
      <xdr:rowOff>114300</xdr:rowOff>
    </xdr:to>
    <xdr:sp macro="" textlink="">
      <xdr:nvSpPr>
        <xdr:cNvPr id="6454" name="Line 1029"/>
        <xdr:cNvSpPr>
          <a:spLocks noChangeShapeType="1"/>
        </xdr:cNvSpPr>
      </xdr:nvSpPr>
      <xdr:spPr bwMode="auto">
        <a:xfrm>
          <a:off x="1038225" y="3286125"/>
          <a:ext cx="2324100" cy="7143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0</xdr:colOff>
      <xdr:row>13</xdr:row>
      <xdr:rowOff>85725</xdr:rowOff>
    </xdr:from>
    <xdr:to>
      <xdr:col>36</xdr:col>
      <xdr:colOff>142875</xdr:colOff>
      <xdr:row>25</xdr:row>
      <xdr:rowOff>104775</xdr:rowOff>
    </xdr:to>
    <xdr:sp macro="" textlink="">
      <xdr:nvSpPr>
        <xdr:cNvPr id="6455" name="Line 1030"/>
        <xdr:cNvSpPr>
          <a:spLocks noChangeShapeType="1"/>
        </xdr:cNvSpPr>
      </xdr:nvSpPr>
      <xdr:spPr bwMode="auto">
        <a:xfrm flipV="1">
          <a:off x="3362325" y="2143125"/>
          <a:ext cx="2266950" cy="18478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85725</xdr:colOff>
      <xdr:row>25</xdr:row>
      <xdr:rowOff>66675</xdr:rowOff>
    </xdr:from>
    <xdr:to>
      <xdr:col>36</xdr:col>
      <xdr:colOff>152400</xdr:colOff>
      <xdr:row>32</xdr:row>
      <xdr:rowOff>114300</xdr:rowOff>
    </xdr:to>
    <xdr:sp macro="" textlink="">
      <xdr:nvSpPr>
        <xdr:cNvPr id="6456" name="Line 1031"/>
        <xdr:cNvSpPr>
          <a:spLocks noChangeShapeType="1"/>
        </xdr:cNvSpPr>
      </xdr:nvSpPr>
      <xdr:spPr bwMode="auto">
        <a:xfrm>
          <a:off x="3514725" y="3952875"/>
          <a:ext cx="2124075" cy="11144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85725</xdr:colOff>
      <xdr:row>12</xdr:row>
      <xdr:rowOff>9525</xdr:rowOff>
    </xdr:from>
    <xdr:to>
      <xdr:col>23</xdr:col>
      <xdr:colOff>85725</xdr:colOff>
      <xdr:row>39</xdr:row>
      <xdr:rowOff>9525</xdr:rowOff>
    </xdr:to>
    <xdr:sp macro="" textlink="">
      <xdr:nvSpPr>
        <xdr:cNvPr id="6457" name="Line 1032"/>
        <xdr:cNvSpPr>
          <a:spLocks noChangeShapeType="1"/>
        </xdr:cNvSpPr>
      </xdr:nvSpPr>
      <xdr:spPr bwMode="auto">
        <a:xfrm flipH="1">
          <a:off x="3514725" y="1914525"/>
          <a:ext cx="0" cy="41148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57150</xdr:colOff>
      <xdr:row>13</xdr:row>
      <xdr:rowOff>9525</xdr:rowOff>
    </xdr:from>
    <xdr:to>
      <xdr:col>42</xdr:col>
      <xdr:colOff>142875</xdr:colOff>
      <xdr:row>14</xdr:row>
      <xdr:rowOff>0</xdr:rowOff>
    </xdr:to>
    <xdr:sp macro="" textlink="">
      <xdr:nvSpPr>
        <xdr:cNvPr id="6153" name="Text Box 1033"/>
        <xdr:cNvSpPr txBox="1">
          <a:spLocks noChangeArrowheads="1"/>
        </xdr:cNvSpPr>
      </xdr:nvSpPr>
      <xdr:spPr bwMode="auto">
        <a:xfrm>
          <a:off x="5934075" y="2066925"/>
          <a:ext cx="695325" cy="142875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it-IT" sz="900" b="0" i="0" strike="noStrike">
              <a:solidFill>
                <a:srgbClr val="000000"/>
              </a:solidFill>
              <a:latin typeface="Arial"/>
              <a:cs typeface="Arial"/>
            </a:rPr>
            <a:t>Succulenza</a:t>
          </a:r>
        </a:p>
      </xdr:txBody>
    </xdr:sp>
    <xdr:clientData/>
  </xdr:twoCellAnchor>
  <xdr:twoCellAnchor>
    <xdr:from>
      <xdr:col>6</xdr:col>
      <xdr:colOff>190500</xdr:colOff>
      <xdr:row>26</xdr:row>
      <xdr:rowOff>133350</xdr:rowOff>
    </xdr:from>
    <xdr:to>
      <xdr:col>20</xdr:col>
      <xdr:colOff>180975</xdr:colOff>
      <xdr:row>34</xdr:row>
      <xdr:rowOff>114300</xdr:rowOff>
    </xdr:to>
    <xdr:sp macro="" textlink="">
      <xdr:nvSpPr>
        <xdr:cNvPr id="6459" name="Line 1046"/>
        <xdr:cNvSpPr>
          <a:spLocks noChangeShapeType="1"/>
        </xdr:cNvSpPr>
      </xdr:nvSpPr>
      <xdr:spPr bwMode="auto">
        <a:xfrm flipH="1">
          <a:off x="1009650" y="4171950"/>
          <a:ext cx="2276475" cy="12001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104774</xdr:colOff>
      <xdr:row>13</xdr:row>
      <xdr:rowOff>19050</xdr:rowOff>
    </xdr:from>
    <xdr:to>
      <xdr:col>18</xdr:col>
      <xdr:colOff>133349</xdr:colOff>
      <xdr:row>38</xdr:row>
      <xdr:rowOff>133349</xdr:rowOff>
    </xdr:to>
    <xdr:sp macro="" textlink="">
      <xdr:nvSpPr>
        <xdr:cNvPr id="6460" name="Line 1053"/>
        <xdr:cNvSpPr>
          <a:spLocks noChangeShapeType="1"/>
        </xdr:cNvSpPr>
      </xdr:nvSpPr>
      <xdr:spPr bwMode="auto">
        <a:xfrm flipH="1">
          <a:off x="2876549" y="2076450"/>
          <a:ext cx="28575" cy="3924299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25</xdr:row>
      <xdr:rowOff>76200</xdr:rowOff>
    </xdr:from>
    <xdr:to>
      <xdr:col>20</xdr:col>
      <xdr:colOff>47625</xdr:colOff>
      <xdr:row>32</xdr:row>
      <xdr:rowOff>85725</xdr:rowOff>
    </xdr:to>
    <xdr:sp macro="" textlink="">
      <xdr:nvSpPr>
        <xdr:cNvPr id="6462" name="Line 1056"/>
        <xdr:cNvSpPr>
          <a:spLocks noChangeShapeType="1"/>
        </xdr:cNvSpPr>
      </xdr:nvSpPr>
      <xdr:spPr bwMode="auto">
        <a:xfrm flipH="1">
          <a:off x="1057275" y="3962400"/>
          <a:ext cx="2095500" cy="10763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38</xdr:col>
      <xdr:colOff>104775</xdr:colOff>
      <xdr:row>36</xdr:row>
      <xdr:rowOff>28575</xdr:rowOff>
    </xdr:from>
    <xdr:to>
      <xdr:col>42</xdr:col>
      <xdr:colOff>104775</xdr:colOff>
      <xdr:row>37</xdr:row>
      <xdr:rowOff>104775</xdr:rowOff>
    </xdr:to>
    <xdr:sp macro="" textlink="">
      <xdr:nvSpPr>
        <xdr:cNvPr id="6183" name="Text Box 1063"/>
        <xdr:cNvSpPr txBox="1">
          <a:spLocks noChangeArrowheads="1"/>
        </xdr:cNvSpPr>
      </xdr:nvSpPr>
      <xdr:spPr bwMode="auto">
        <a:xfrm>
          <a:off x="5981700" y="5591175"/>
          <a:ext cx="609600" cy="2286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it-IT" sz="1000" b="1" i="0" strike="noStrike">
              <a:solidFill>
                <a:srgbClr val="000000"/>
              </a:solidFill>
              <a:latin typeface="+mn-lt"/>
              <a:cs typeface="Arial"/>
            </a:rPr>
            <a:t>SAPIDITÀ</a:t>
          </a:r>
        </a:p>
      </xdr:txBody>
    </xdr:sp>
    <xdr:clientData/>
  </xdr:twoCellAnchor>
  <xdr:twoCellAnchor>
    <xdr:from>
      <xdr:col>38</xdr:col>
      <xdr:colOff>19050</xdr:colOff>
      <xdr:row>35</xdr:row>
      <xdr:rowOff>9525</xdr:rowOff>
    </xdr:from>
    <xdr:to>
      <xdr:col>43</xdr:col>
      <xdr:colOff>180975</xdr:colOff>
      <xdr:row>36</xdr:row>
      <xdr:rowOff>0</xdr:rowOff>
    </xdr:to>
    <xdr:sp macro="" textlink="">
      <xdr:nvSpPr>
        <xdr:cNvPr id="6184" name="Text Box 1064"/>
        <xdr:cNvSpPr txBox="1">
          <a:spLocks noChangeArrowheads="1"/>
        </xdr:cNvSpPr>
      </xdr:nvSpPr>
      <xdr:spPr bwMode="auto">
        <a:xfrm>
          <a:off x="5895975" y="5419725"/>
          <a:ext cx="1000125" cy="142875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it-IT" sz="1000" b="1" i="0" strike="noStrike">
              <a:solidFill>
                <a:srgbClr val="000000"/>
              </a:solidFill>
              <a:latin typeface="+mn-lt"/>
              <a:cs typeface="Arial"/>
            </a:rPr>
            <a:t>EFFERVESCENZA</a:t>
          </a:r>
        </a:p>
      </xdr:txBody>
    </xdr:sp>
    <xdr:clientData/>
  </xdr:twoCellAnchor>
  <xdr:twoCellAnchor>
    <xdr:from>
      <xdr:col>38</xdr:col>
      <xdr:colOff>47625</xdr:colOff>
      <xdr:row>32</xdr:row>
      <xdr:rowOff>9525</xdr:rowOff>
    </xdr:from>
    <xdr:to>
      <xdr:col>42</xdr:col>
      <xdr:colOff>38100</xdr:colOff>
      <xdr:row>33</xdr:row>
      <xdr:rowOff>104775</xdr:rowOff>
    </xdr:to>
    <xdr:sp macro="" textlink="">
      <xdr:nvSpPr>
        <xdr:cNvPr id="6185" name="Text Box 1065"/>
        <xdr:cNvSpPr txBox="1">
          <a:spLocks noChangeArrowheads="1"/>
        </xdr:cNvSpPr>
      </xdr:nvSpPr>
      <xdr:spPr bwMode="auto">
        <a:xfrm>
          <a:off x="5924550" y="4962525"/>
          <a:ext cx="600075" cy="2476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it-IT" sz="1000" b="1" i="0" strike="noStrike">
              <a:solidFill>
                <a:srgbClr val="000000"/>
              </a:solidFill>
              <a:latin typeface="+mn-lt"/>
              <a:cs typeface="Arial"/>
            </a:rPr>
            <a:t>ACIDITÀ</a:t>
          </a:r>
        </a:p>
      </xdr:txBody>
    </xdr:sp>
    <xdr:clientData/>
  </xdr:twoCellAnchor>
  <xdr:twoCellAnchor>
    <xdr:from>
      <xdr:col>0</xdr:col>
      <xdr:colOff>0</xdr:colOff>
      <xdr:row>19</xdr:row>
      <xdr:rowOff>152399</xdr:rowOff>
    </xdr:from>
    <xdr:to>
      <xdr:col>5</xdr:col>
      <xdr:colOff>57150</xdr:colOff>
      <xdr:row>24</xdr:row>
      <xdr:rowOff>28574</xdr:rowOff>
    </xdr:to>
    <xdr:sp macro="" textlink="">
      <xdr:nvSpPr>
        <xdr:cNvPr id="6191" name="Text Box 1071"/>
        <xdr:cNvSpPr txBox="1">
          <a:spLocks noChangeArrowheads="1"/>
        </xdr:cNvSpPr>
      </xdr:nvSpPr>
      <xdr:spPr bwMode="auto">
        <a:xfrm>
          <a:off x="0" y="3124199"/>
          <a:ext cx="723900" cy="638175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it-IT" sz="1000" b="1" i="0" strike="noStrike">
              <a:solidFill>
                <a:srgbClr val="000000"/>
              </a:solidFill>
              <a:latin typeface="+mn-lt"/>
              <a:cs typeface="Arial"/>
            </a:rPr>
            <a:t>Pastosità /</a:t>
          </a:r>
        </a:p>
        <a:p>
          <a:pPr algn="l" rtl="1">
            <a:defRPr sz="1000"/>
          </a:pPr>
          <a:r>
            <a:rPr lang="it-IT" sz="1000" b="1" i="0" strike="noStrike">
              <a:solidFill>
                <a:srgbClr val="000000"/>
              </a:solidFill>
              <a:latin typeface="+mn-lt"/>
              <a:cs typeface="Arial"/>
            </a:rPr>
            <a:t>Grassezza</a:t>
          </a:r>
        </a:p>
      </xdr:txBody>
    </xdr:sp>
    <xdr:clientData/>
  </xdr:twoCellAnchor>
  <xdr:twoCellAnchor>
    <xdr:from>
      <xdr:col>1</xdr:col>
      <xdr:colOff>66675</xdr:colOff>
      <xdr:row>12</xdr:row>
      <xdr:rowOff>66675</xdr:rowOff>
    </xdr:from>
    <xdr:to>
      <xdr:col>5</xdr:col>
      <xdr:colOff>142875</xdr:colOff>
      <xdr:row>14</xdr:row>
      <xdr:rowOff>142875</xdr:rowOff>
    </xdr:to>
    <xdr:sp macro="" textlink="">
      <xdr:nvSpPr>
        <xdr:cNvPr id="6192" name="Text Box 1072"/>
        <xdr:cNvSpPr txBox="1">
          <a:spLocks noChangeArrowheads="1"/>
        </xdr:cNvSpPr>
      </xdr:nvSpPr>
      <xdr:spPr bwMode="auto">
        <a:xfrm>
          <a:off x="161925" y="1971675"/>
          <a:ext cx="647700" cy="3810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it-IT" sz="1000" b="1" i="0" strike="noStrike">
              <a:solidFill>
                <a:srgbClr val="000000"/>
              </a:solidFill>
              <a:latin typeface="+mn-lt"/>
              <a:cs typeface="Arial"/>
            </a:rPr>
            <a:t>Tendenza dolce</a:t>
          </a:r>
        </a:p>
      </xdr:txBody>
    </xdr:sp>
    <xdr:clientData/>
  </xdr:twoCellAnchor>
  <xdr:twoCellAnchor>
    <xdr:from>
      <xdr:col>0</xdr:col>
      <xdr:colOff>76200</xdr:colOff>
      <xdr:row>32</xdr:row>
      <xdr:rowOff>47625</xdr:rowOff>
    </xdr:from>
    <xdr:to>
      <xdr:col>5</xdr:col>
      <xdr:colOff>85725</xdr:colOff>
      <xdr:row>33</xdr:row>
      <xdr:rowOff>38100</xdr:rowOff>
    </xdr:to>
    <xdr:sp macro="" textlink="">
      <xdr:nvSpPr>
        <xdr:cNvPr id="6193" name="Text Box 1073"/>
        <xdr:cNvSpPr txBox="1">
          <a:spLocks noChangeArrowheads="1"/>
        </xdr:cNvSpPr>
      </xdr:nvSpPr>
      <xdr:spPr bwMode="auto">
        <a:xfrm>
          <a:off x="76200" y="5000625"/>
          <a:ext cx="676275" cy="142875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it-IT" sz="1000" b="1" i="0" strike="noStrike">
              <a:solidFill>
                <a:srgbClr val="000000"/>
              </a:solidFill>
              <a:latin typeface="+mn-lt"/>
              <a:cs typeface="Arial"/>
            </a:rPr>
            <a:t>ALCOLICITÀ</a:t>
          </a:r>
        </a:p>
      </xdr:txBody>
    </xdr:sp>
    <xdr:clientData/>
  </xdr:twoCellAnchor>
  <xdr:twoCellAnchor>
    <xdr:from>
      <xdr:col>0</xdr:col>
      <xdr:colOff>76200</xdr:colOff>
      <xdr:row>34</xdr:row>
      <xdr:rowOff>152399</xdr:rowOff>
    </xdr:from>
    <xdr:to>
      <xdr:col>5</xdr:col>
      <xdr:colOff>76200</xdr:colOff>
      <xdr:row>36</xdr:row>
      <xdr:rowOff>66674</xdr:rowOff>
    </xdr:to>
    <xdr:sp macro="" textlink="">
      <xdr:nvSpPr>
        <xdr:cNvPr id="6194" name="Text Box 1074"/>
        <xdr:cNvSpPr txBox="1">
          <a:spLocks noChangeArrowheads="1"/>
        </xdr:cNvSpPr>
      </xdr:nvSpPr>
      <xdr:spPr bwMode="auto">
        <a:xfrm>
          <a:off x="76200" y="5410199"/>
          <a:ext cx="666750" cy="219075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it-IT" sz="1000" b="1" i="0" strike="noStrike">
              <a:solidFill>
                <a:srgbClr val="000000"/>
              </a:solidFill>
              <a:latin typeface="+mn-lt"/>
              <a:cs typeface="Arial"/>
            </a:rPr>
            <a:t>TANNICITÀ</a:t>
          </a:r>
        </a:p>
      </xdr:txBody>
    </xdr:sp>
    <xdr:clientData/>
  </xdr:twoCellAnchor>
  <xdr:twoCellAnchor>
    <xdr:from>
      <xdr:col>38</xdr:col>
      <xdr:colOff>57150</xdr:colOff>
      <xdr:row>20</xdr:row>
      <xdr:rowOff>19050</xdr:rowOff>
    </xdr:from>
    <xdr:to>
      <xdr:col>42</xdr:col>
      <xdr:colOff>47625</xdr:colOff>
      <xdr:row>21</xdr:row>
      <xdr:rowOff>38100</xdr:rowOff>
    </xdr:to>
    <xdr:sp macro="" textlink="">
      <xdr:nvSpPr>
        <xdr:cNvPr id="6196" name="Text Box 1076"/>
        <xdr:cNvSpPr txBox="1">
          <a:spLocks noChangeArrowheads="1"/>
        </xdr:cNvSpPr>
      </xdr:nvSpPr>
      <xdr:spPr bwMode="auto">
        <a:xfrm>
          <a:off x="5934075" y="3143250"/>
          <a:ext cx="600075" cy="171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it-IT" sz="900" b="0" i="0" strike="noStrike">
              <a:solidFill>
                <a:srgbClr val="000000"/>
              </a:solidFill>
              <a:latin typeface="Arial"/>
              <a:cs typeface="Arial"/>
            </a:rPr>
            <a:t>Untuosità</a:t>
          </a:r>
        </a:p>
      </xdr:txBody>
    </xdr:sp>
    <xdr:clientData/>
  </xdr:twoCellAnchor>
  <xdr:twoCellAnchor>
    <xdr:from>
      <xdr:col>22</xdr:col>
      <xdr:colOff>19050</xdr:colOff>
      <xdr:row>26</xdr:row>
      <xdr:rowOff>123825</xdr:rowOff>
    </xdr:from>
    <xdr:to>
      <xdr:col>37</xdr:col>
      <xdr:colOff>9525</xdr:colOff>
      <xdr:row>34</xdr:row>
      <xdr:rowOff>133350</xdr:rowOff>
    </xdr:to>
    <xdr:sp macro="" textlink="">
      <xdr:nvSpPr>
        <xdr:cNvPr id="6472" name="Line 1079"/>
        <xdr:cNvSpPr>
          <a:spLocks noChangeShapeType="1"/>
        </xdr:cNvSpPr>
      </xdr:nvSpPr>
      <xdr:spPr bwMode="auto">
        <a:xfrm>
          <a:off x="3381375" y="4162425"/>
          <a:ext cx="2305050" cy="1228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114300</xdr:colOff>
      <xdr:row>14</xdr:row>
      <xdr:rowOff>66675</xdr:rowOff>
    </xdr:from>
    <xdr:to>
      <xdr:col>34</xdr:col>
      <xdr:colOff>28575</xdr:colOff>
      <xdr:row>37</xdr:row>
      <xdr:rowOff>0</xdr:rowOff>
    </xdr:to>
    <xdr:sp macro="" textlink="">
      <xdr:nvSpPr>
        <xdr:cNvPr id="6473" name="Oval 1087"/>
        <xdr:cNvSpPr>
          <a:spLocks noChangeArrowheads="1"/>
        </xdr:cNvSpPr>
      </xdr:nvSpPr>
      <xdr:spPr bwMode="auto">
        <a:xfrm>
          <a:off x="1438275" y="2276475"/>
          <a:ext cx="3771900" cy="3438525"/>
        </a:xfrm>
        <a:prstGeom prst="ellipse">
          <a:avLst/>
        </a:prstGeom>
        <a:solidFill>
          <a:srgbClr val="FFFFFF">
            <a:alpha val="9019"/>
          </a:srgbClr>
        </a:solidFill>
        <a:ln w="3175" cap="rnd" algn="ctr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10</xdr:col>
      <xdr:colOff>171450</xdr:colOff>
      <xdr:row>15</xdr:row>
      <xdr:rowOff>85725</xdr:rowOff>
    </xdr:from>
    <xdr:to>
      <xdr:col>33</xdr:col>
      <xdr:colOff>38100</xdr:colOff>
      <xdr:row>35</xdr:row>
      <xdr:rowOff>123825</xdr:rowOff>
    </xdr:to>
    <xdr:sp macro="" textlink="">
      <xdr:nvSpPr>
        <xdr:cNvPr id="6474" name="Oval 1088"/>
        <xdr:cNvSpPr>
          <a:spLocks noChangeArrowheads="1"/>
        </xdr:cNvSpPr>
      </xdr:nvSpPr>
      <xdr:spPr bwMode="auto">
        <a:xfrm>
          <a:off x="1647825" y="2447925"/>
          <a:ext cx="3371850" cy="3086100"/>
        </a:xfrm>
        <a:prstGeom prst="ellipse">
          <a:avLst/>
        </a:prstGeom>
        <a:solidFill>
          <a:srgbClr val="FFFFFF">
            <a:alpha val="9019"/>
          </a:srgbClr>
        </a:solidFill>
        <a:ln w="3175" cap="rnd" algn="ctr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12</xdr:col>
      <xdr:colOff>9525</xdr:colOff>
      <xdr:row>16</xdr:row>
      <xdr:rowOff>95250</xdr:rowOff>
    </xdr:from>
    <xdr:to>
      <xdr:col>32</xdr:col>
      <xdr:colOff>0</xdr:colOff>
      <xdr:row>34</xdr:row>
      <xdr:rowOff>114300</xdr:rowOff>
    </xdr:to>
    <xdr:sp macro="" textlink="">
      <xdr:nvSpPr>
        <xdr:cNvPr id="6475" name="Oval 1089"/>
        <xdr:cNvSpPr>
          <a:spLocks noChangeArrowheads="1"/>
        </xdr:cNvSpPr>
      </xdr:nvSpPr>
      <xdr:spPr bwMode="auto">
        <a:xfrm>
          <a:off x="1828800" y="2609850"/>
          <a:ext cx="3000375" cy="2762250"/>
        </a:xfrm>
        <a:prstGeom prst="ellipse">
          <a:avLst/>
        </a:prstGeom>
        <a:solidFill>
          <a:srgbClr val="FFFFFF">
            <a:alpha val="9019"/>
          </a:srgbClr>
        </a:solidFill>
        <a:ln w="3175" cap="rnd" algn="ctr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13</xdr:col>
      <xdr:colOff>19050</xdr:colOff>
      <xdr:row>17</xdr:row>
      <xdr:rowOff>114300</xdr:rowOff>
    </xdr:from>
    <xdr:to>
      <xdr:col>30</xdr:col>
      <xdr:colOff>114300</xdr:colOff>
      <xdr:row>33</xdr:row>
      <xdr:rowOff>85725</xdr:rowOff>
    </xdr:to>
    <xdr:sp macro="" textlink="">
      <xdr:nvSpPr>
        <xdr:cNvPr id="6476" name="Oval 1090"/>
        <xdr:cNvSpPr>
          <a:spLocks noChangeArrowheads="1"/>
        </xdr:cNvSpPr>
      </xdr:nvSpPr>
      <xdr:spPr bwMode="auto">
        <a:xfrm>
          <a:off x="2028825" y="2781300"/>
          <a:ext cx="2609850" cy="2409825"/>
        </a:xfrm>
        <a:prstGeom prst="ellipse">
          <a:avLst/>
        </a:prstGeom>
        <a:solidFill>
          <a:srgbClr val="FFFFFF">
            <a:alpha val="9019"/>
          </a:srgbClr>
        </a:solidFill>
        <a:ln w="3175" cap="rnd" algn="ctr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14</xdr:col>
      <xdr:colOff>38100</xdr:colOff>
      <xdr:row>19</xdr:row>
      <xdr:rowOff>0</xdr:rowOff>
    </xdr:from>
    <xdr:to>
      <xdr:col>29</xdr:col>
      <xdr:colOff>95250</xdr:colOff>
      <xdr:row>32</xdr:row>
      <xdr:rowOff>57150</xdr:rowOff>
    </xdr:to>
    <xdr:sp macro="" textlink="">
      <xdr:nvSpPr>
        <xdr:cNvPr id="6477" name="Oval 1091"/>
        <xdr:cNvSpPr>
          <a:spLocks noChangeArrowheads="1"/>
        </xdr:cNvSpPr>
      </xdr:nvSpPr>
      <xdr:spPr bwMode="auto">
        <a:xfrm>
          <a:off x="2200275" y="2971800"/>
          <a:ext cx="2266950" cy="2038350"/>
        </a:xfrm>
        <a:prstGeom prst="ellipse">
          <a:avLst/>
        </a:prstGeom>
        <a:solidFill>
          <a:srgbClr val="FFFFFF">
            <a:alpha val="9019"/>
          </a:srgbClr>
        </a:solidFill>
        <a:ln w="3175" cap="rnd" algn="ctr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15</xdr:col>
      <xdr:colOff>95250</xdr:colOff>
      <xdr:row>20</xdr:row>
      <xdr:rowOff>9525</xdr:rowOff>
    </xdr:from>
    <xdr:to>
      <xdr:col>28</xdr:col>
      <xdr:colOff>38100</xdr:colOff>
      <xdr:row>31</xdr:row>
      <xdr:rowOff>66675</xdr:rowOff>
    </xdr:to>
    <xdr:sp macro="" textlink="">
      <xdr:nvSpPr>
        <xdr:cNvPr id="6478" name="Oval 1092"/>
        <xdr:cNvSpPr>
          <a:spLocks noChangeArrowheads="1"/>
        </xdr:cNvSpPr>
      </xdr:nvSpPr>
      <xdr:spPr bwMode="auto">
        <a:xfrm>
          <a:off x="2409825" y="3133725"/>
          <a:ext cx="1847850" cy="1733550"/>
        </a:xfrm>
        <a:prstGeom prst="ellipse">
          <a:avLst/>
        </a:prstGeom>
        <a:solidFill>
          <a:srgbClr val="FFFFFF">
            <a:alpha val="9019"/>
          </a:srgbClr>
        </a:solidFill>
        <a:ln w="3175" cap="rnd" algn="ctr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16</xdr:col>
      <xdr:colOff>133350</xdr:colOff>
      <xdr:row>21</xdr:row>
      <xdr:rowOff>38100</xdr:rowOff>
    </xdr:from>
    <xdr:to>
      <xdr:col>27</xdr:col>
      <xdr:colOff>9525</xdr:colOff>
      <xdr:row>30</xdr:row>
      <xdr:rowOff>28575</xdr:rowOff>
    </xdr:to>
    <xdr:sp macro="" textlink="">
      <xdr:nvSpPr>
        <xdr:cNvPr id="6479" name="Oval 1093"/>
        <xdr:cNvSpPr>
          <a:spLocks noChangeArrowheads="1"/>
        </xdr:cNvSpPr>
      </xdr:nvSpPr>
      <xdr:spPr bwMode="auto">
        <a:xfrm>
          <a:off x="2600325" y="3314700"/>
          <a:ext cx="1476375" cy="1362075"/>
        </a:xfrm>
        <a:prstGeom prst="ellipse">
          <a:avLst/>
        </a:prstGeom>
        <a:solidFill>
          <a:srgbClr val="FFFFFF">
            <a:alpha val="9019"/>
          </a:srgbClr>
        </a:solidFill>
        <a:ln w="3175" cap="rnd" algn="ctr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18</xdr:col>
      <xdr:colOff>0</xdr:colOff>
      <xdr:row>22</xdr:row>
      <xdr:rowOff>38100</xdr:rowOff>
    </xdr:from>
    <xdr:to>
      <xdr:col>25</xdr:col>
      <xdr:colOff>152400</xdr:colOff>
      <xdr:row>29</xdr:row>
      <xdr:rowOff>19050</xdr:rowOff>
    </xdr:to>
    <xdr:sp macro="" textlink="">
      <xdr:nvSpPr>
        <xdr:cNvPr id="6480" name="Oval 1094"/>
        <xdr:cNvSpPr>
          <a:spLocks noChangeArrowheads="1"/>
        </xdr:cNvSpPr>
      </xdr:nvSpPr>
      <xdr:spPr bwMode="auto">
        <a:xfrm>
          <a:off x="2771775" y="3467100"/>
          <a:ext cx="1114425" cy="1047750"/>
        </a:xfrm>
        <a:prstGeom prst="ellipse">
          <a:avLst/>
        </a:prstGeom>
        <a:solidFill>
          <a:srgbClr val="FFFFFF">
            <a:alpha val="9019"/>
          </a:srgbClr>
        </a:solidFill>
        <a:ln w="3175" cap="rnd" algn="ctr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19</xdr:col>
      <xdr:colOff>19050</xdr:colOff>
      <xdr:row>23</xdr:row>
      <xdr:rowOff>47625</xdr:rowOff>
    </xdr:from>
    <xdr:to>
      <xdr:col>24</xdr:col>
      <xdr:colOff>123825</xdr:colOff>
      <xdr:row>27</xdr:row>
      <xdr:rowOff>142875</xdr:rowOff>
    </xdr:to>
    <xdr:sp macro="" textlink="">
      <xdr:nvSpPr>
        <xdr:cNvPr id="6481" name="Oval 1095"/>
        <xdr:cNvSpPr>
          <a:spLocks noChangeArrowheads="1"/>
        </xdr:cNvSpPr>
      </xdr:nvSpPr>
      <xdr:spPr bwMode="auto">
        <a:xfrm>
          <a:off x="2971800" y="3629025"/>
          <a:ext cx="733425" cy="704850"/>
        </a:xfrm>
        <a:prstGeom prst="ellipse">
          <a:avLst/>
        </a:prstGeom>
        <a:solidFill>
          <a:srgbClr val="FFFFFF">
            <a:alpha val="9019"/>
          </a:srgbClr>
        </a:solidFill>
        <a:ln w="3175" cap="rnd" algn="ctr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20</xdr:col>
      <xdr:colOff>38100</xdr:colOff>
      <xdr:row>24</xdr:row>
      <xdr:rowOff>28575</xdr:rowOff>
    </xdr:from>
    <xdr:to>
      <xdr:col>23</xdr:col>
      <xdr:colOff>104775</xdr:colOff>
      <xdr:row>27</xdr:row>
      <xdr:rowOff>0</xdr:rowOff>
    </xdr:to>
    <xdr:sp macro="" textlink="">
      <xdr:nvSpPr>
        <xdr:cNvPr id="6482" name="Oval 1096"/>
        <xdr:cNvSpPr>
          <a:spLocks noChangeArrowheads="1"/>
        </xdr:cNvSpPr>
      </xdr:nvSpPr>
      <xdr:spPr bwMode="auto">
        <a:xfrm>
          <a:off x="3143250" y="3762375"/>
          <a:ext cx="390525" cy="428625"/>
        </a:xfrm>
        <a:prstGeom prst="ellipse">
          <a:avLst/>
        </a:prstGeom>
        <a:solidFill>
          <a:srgbClr val="FFFFFF">
            <a:alpha val="9019"/>
          </a:srgbClr>
        </a:solidFill>
        <a:ln w="3175" cap="rnd" algn="ctr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20</xdr:col>
      <xdr:colOff>0</xdr:colOff>
      <xdr:row>12</xdr:row>
      <xdr:rowOff>9526</xdr:rowOff>
    </xdr:from>
    <xdr:to>
      <xdr:col>20</xdr:col>
      <xdr:colOff>9524</xdr:colOff>
      <xdr:row>43</xdr:row>
      <xdr:rowOff>19050</xdr:rowOff>
    </xdr:to>
    <xdr:sp macro="" textlink="">
      <xdr:nvSpPr>
        <xdr:cNvPr id="35" name="Line 1053"/>
        <xdr:cNvSpPr>
          <a:spLocks noChangeShapeType="1"/>
        </xdr:cNvSpPr>
      </xdr:nvSpPr>
      <xdr:spPr bwMode="auto">
        <a:xfrm>
          <a:off x="3105150" y="1914526"/>
          <a:ext cx="9524" cy="4733924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85725</xdr:colOff>
      <xdr:row>13</xdr:row>
      <xdr:rowOff>19050</xdr:rowOff>
    </xdr:from>
    <xdr:to>
      <xdr:col>25</xdr:col>
      <xdr:colOff>85725</xdr:colOff>
      <xdr:row>42</xdr:row>
      <xdr:rowOff>133349</xdr:rowOff>
    </xdr:to>
    <xdr:sp macro="" textlink="">
      <xdr:nvSpPr>
        <xdr:cNvPr id="36" name="Line 1032"/>
        <xdr:cNvSpPr>
          <a:spLocks noChangeShapeType="1"/>
        </xdr:cNvSpPr>
      </xdr:nvSpPr>
      <xdr:spPr bwMode="auto">
        <a:xfrm flipH="1">
          <a:off x="3819525" y="2076450"/>
          <a:ext cx="0" cy="4533899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>
            <a:alpha val="9000"/>
          </a:srgbClr>
        </a:solidFill>
        <a:ln w="3175" cap="rnd" cmpd="sng" algn="ctr">
          <a:solidFill>
            <a:srgbClr val="00FFFF"/>
          </a:solidFill>
          <a:prstDash val="sysDot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>
            <a:alpha val="9000"/>
          </a:srgbClr>
        </a:solidFill>
        <a:ln w="3175" cap="rnd" cmpd="sng" algn="ctr">
          <a:solidFill>
            <a:srgbClr val="00FFFF"/>
          </a:solidFill>
          <a:prstDash val="sysDot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/>
  <dimension ref="A1:W72"/>
  <sheetViews>
    <sheetView topLeftCell="P1" workbookViewId="0">
      <selection activeCell="Q16" sqref="Q16"/>
    </sheetView>
  </sheetViews>
  <sheetFormatPr defaultRowHeight="12.75"/>
  <cols>
    <col min="1" max="1" width="14.42578125" style="6" hidden="1" customWidth="1"/>
    <col min="2" max="2" width="13.28515625" style="6" hidden="1" customWidth="1"/>
    <col min="3" max="3" width="10.42578125" style="6" hidden="1" customWidth="1"/>
    <col min="4" max="4" width="9.140625" style="6" hidden="1" customWidth="1"/>
    <col min="5" max="5" width="12.5703125" style="6" hidden="1" customWidth="1"/>
    <col min="6" max="6" width="8.42578125" style="6" hidden="1" customWidth="1"/>
    <col min="7" max="15" width="9.140625" style="6" hidden="1" customWidth="1"/>
    <col min="16" max="17" width="9.140625" style="6"/>
    <col min="18" max="18" width="10.85546875" style="6" customWidth="1"/>
    <col min="19" max="19" width="16.140625" style="6" customWidth="1"/>
    <col min="20" max="20" width="15.140625" style="6" customWidth="1"/>
    <col min="21" max="21" width="6" style="6" customWidth="1"/>
    <col min="22" max="22" width="15.140625" style="6" customWidth="1"/>
    <col min="23" max="16384" width="9.140625" style="6"/>
  </cols>
  <sheetData>
    <row r="1" spans="1:23">
      <c r="C1" s="6">
        <f>PI()</f>
        <v>3.1415926535897931</v>
      </c>
      <c r="T1" s="130" t="s">
        <v>67</v>
      </c>
      <c r="U1" s="131"/>
      <c r="V1" s="131"/>
      <c r="W1" s="132"/>
    </row>
    <row r="2" spans="1:23" ht="13.5" thickBot="1">
      <c r="A2" s="6" t="s">
        <v>10</v>
      </c>
      <c r="B2" s="6">
        <f>SIN(11*pi/180)</f>
        <v>0.1908089953765448</v>
      </c>
      <c r="T2" s="133" t="s">
        <v>114</v>
      </c>
      <c r="U2" s="134"/>
      <c r="V2" s="134"/>
      <c r="W2" s="135"/>
    </row>
    <row r="3" spans="1:23" ht="13.5" thickBot="1">
      <c r="A3" s="6" t="s">
        <v>11</v>
      </c>
      <c r="B3" s="6">
        <f>COS(11*pi/180)</f>
        <v>0.98162718344766398</v>
      </c>
      <c r="T3" s="136" t="s">
        <v>50</v>
      </c>
      <c r="U3" s="136"/>
      <c r="V3" s="136" t="s">
        <v>51</v>
      </c>
      <c r="W3" s="136"/>
    </row>
    <row r="4" spans="1:23" ht="13.5" thickBot="1">
      <c r="A4" s="6" t="s">
        <v>12</v>
      </c>
      <c r="B4" s="6">
        <f>SIN(19*pi/180)</f>
        <v>0.32556815445715664</v>
      </c>
      <c r="T4" s="7" t="s">
        <v>5</v>
      </c>
      <c r="U4" s="8">
        <f>scheda!AL14</f>
        <v>0</v>
      </c>
      <c r="V4" s="7" t="s">
        <v>52</v>
      </c>
      <c r="W4" s="8">
        <f>scheda!X12</f>
        <v>0</v>
      </c>
    </row>
    <row r="5" spans="1:23" ht="13.5" thickBot="1">
      <c r="A5" s="6" t="s">
        <v>13</v>
      </c>
      <c r="B5" s="6">
        <f>COS(19*pi/180)</f>
        <v>0.94551857559931685</v>
      </c>
      <c r="T5" s="7" t="s">
        <v>32</v>
      </c>
      <c r="U5" s="8">
        <f>scheda!AL21</f>
        <v>0</v>
      </c>
      <c r="V5" s="7" t="s">
        <v>53</v>
      </c>
      <c r="W5" s="8">
        <f>scheda!Z13</f>
        <v>0</v>
      </c>
    </row>
    <row r="6" spans="1:23" ht="23.25" thickBot="1">
      <c r="A6" s="6" t="s">
        <v>14</v>
      </c>
      <c r="B6" s="6">
        <f>SIN(41*pi/180)</f>
        <v>0.65605902899050716</v>
      </c>
      <c r="T6" s="9" t="s">
        <v>43</v>
      </c>
      <c r="U6" s="8">
        <f>scheda!Z44</f>
        <v>0</v>
      </c>
      <c r="V6" s="7" t="s">
        <v>54</v>
      </c>
      <c r="W6" s="8">
        <f>scheda!AL33</f>
        <v>0</v>
      </c>
    </row>
    <row r="7" spans="1:23" ht="23.25" thickBot="1">
      <c r="A7" s="6" t="s">
        <v>15</v>
      </c>
      <c r="B7" s="6">
        <f>COS(41*pi/180)</f>
        <v>0.75470958022277213</v>
      </c>
      <c r="T7" s="10" t="s">
        <v>44</v>
      </c>
      <c r="U7" s="8">
        <f>scheda!X40</f>
        <v>0</v>
      </c>
      <c r="V7" s="11" t="s">
        <v>58</v>
      </c>
      <c r="W7" s="8">
        <f>MAX(scheda!AL36,scheda!AL37)</f>
        <v>0</v>
      </c>
    </row>
    <row r="8" spans="1:23" ht="13.5" thickBot="1">
      <c r="A8" s="6" t="s">
        <v>75</v>
      </c>
      <c r="B8" s="6">
        <f>SIN(30*pi/180)</f>
        <v>0.49999999999999994</v>
      </c>
      <c r="T8" s="12" t="s">
        <v>45</v>
      </c>
      <c r="U8" s="8">
        <f>scheda!Z43</f>
        <v>0</v>
      </c>
      <c r="V8" s="7" t="s">
        <v>55</v>
      </c>
      <c r="W8" s="8">
        <f>scheda!G36</f>
        <v>0</v>
      </c>
    </row>
    <row r="9" spans="1:23" ht="13.5" thickBot="1">
      <c r="A9" s="6" t="s">
        <v>76</v>
      </c>
      <c r="B9" s="6">
        <f>COS(30*pi/180)</f>
        <v>0.86602540378443871</v>
      </c>
      <c r="T9" s="13" t="s">
        <v>7</v>
      </c>
      <c r="U9" s="8">
        <f>scheda!S40</f>
        <v>0</v>
      </c>
      <c r="V9" s="7" t="s">
        <v>56</v>
      </c>
      <c r="W9" s="8">
        <f>scheda!G33</f>
        <v>0</v>
      </c>
    </row>
    <row r="10" spans="1:23" ht="23.25" thickBot="1">
      <c r="B10" s="6" t="s">
        <v>21</v>
      </c>
      <c r="E10" s="6" t="s">
        <v>0</v>
      </c>
      <c r="G10" s="6" t="s">
        <v>59</v>
      </c>
      <c r="L10" s="6" t="s">
        <v>0</v>
      </c>
      <c r="N10" s="6" t="s">
        <v>18</v>
      </c>
      <c r="P10" s="128" t="s">
        <v>3</v>
      </c>
      <c r="Q10" s="128"/>
      <c r="R10" s="129" t="s">
        <v>81</v>
      </c>
      <c r="S10" s="129"/>
      <c r="T10" s="15" t="s">
        <v>46</v>
      </c>
      <c r="U10" s="8">
        <f>scheda!S41</f>
        <v>0</v>
      </c>
      <c r="V10" s="7" t="s">
        <v>48</v>
      </c>
      <c r="W10" s="8">
        <f>scheda!T12</f>
        <v>0</v>
      </c>
    </row>
    <row r="11" spans="1:23" ht="23.25" thickBot="1">
      <c r="B11" s="6" t="s">
        <v>19</v>
      </c>
      <c r="C11" s="6" t="s">
        <v>20</v>
      </c>
      <c r="E11" s="6" t="s">
        <v>3</v>
      </c>
      <c r="F11" s="6" t="s">
        <v>17</v>
      </c>
      <c r="G11" s="16" t="s">
        <v>1</v>
      </c>
      <c r="H11" s="17" t="s">
        <v>2</v>
      </c>
      <c r="I11" s="16" t="s">
        <v>1</v>
      </c>
      <c r="J11" s="18" t="s">
        <v>2</v>
      </c>
      <c r="L11" s="6" t="s">
        <v>3</v>
      </c>
      <c r="M11" s="6" t="s">
        <v>17</v>
      </c>
      <c r="N11" s="16" t="s">
        <v>1</v>
      </c>
      <c r="O11" s="17" t="s">
        <v>2</v>
      </c>
      <c r="P11" s="19" t="s">
        <v>1</v>
      </c>
      <c r="Q11" s="20" t="s">
        <v>2</v>
      </c>
      <c r="T11" s="21" t="s">
        <v>47</v>
      </c>
      <c r="U11" s="8">
        <f>scheda!S42</f>
        <v>0</v>
      </c>
      <c r="V11" s="7" t="s">
        <v>57</v>
      </c>
      <c r="W11" s="8">
        <f>scheda!S13</f>
        <v>0</v>
      </c>
    </row>
    <row r="12" spans="1:23" ht="13.5" thickBot="1">
      <c r="A12" s="6" t="s">
        <v>5</v>
      </c>
      <c r="B12" s="6">
        <f>B6/B7</f>
        <v>0.86928673781622634</v>
      </c>
      <c r="C12" s="6">
        <f t="shared" ref="C12:C17" si="0">10-B12*10</f>
        <v>1.3071326218377362</v>
      </c>
      <c r="E12" s="6" t="s">
        <v>5</v>
      </c>
      <c r="F12" s="6">
        <f>IF(calcolo!M12=0,0.01,calcolo!M12)</f>
        <v>0.01</v>
      </c>
      <c r="G12" s="22">
        <f>10+F12*_COS41</f>
        <v>10.007547095802227</v>
      </c>
      <c r="H12" s="23">
        <f>10+F12*_SEN41</f>
        <v>10.006560590289904</v>
      </c>
      <c r="I12" s="22">
        <f t="shared" ref="I12:J17" si="1">G12</f>
        <v>10.007547095802227</v>
      </c>
      <c r="J12" s="24">
        <f t="shared" si="1"/>
        <v>10.006560590289904</v>
      </c>
      <c r="L12" s="6" t="s">
        <v>5</v>
      </c>
      <c r="M12" s="6">
        <f>calcolo!U4</f>
        <v>0</v>
      </c>
      <c r="N12" s="25">
        <f>10+M12*calcolo!B7</f>
        <v>10</v>
      </c>
      <c r="O12" s="26">
        <f>10+M12*calcolo!B6</f>
        <v>10</v>
      </c>
      <c r="P12" s="27">
        <f>calcolo!J20</f>
        <v>10.007547095802227</v>
      </c>
      <c r="Q12" s="28">
        <f>calcolo!K20</f>
        <v>10.006560590289904</v>
      </c>
      <c r="T12" s="12" t="s">
        <v>48</v>
      </c>
      <c r="U12" s="8">
        <f>scheda!U44</f>
        <v>0</v>
      </c>
      <c r="V12" s="29"/>
      <c r="W12" s="29"/>
    </row>
    <row r="13" spans="1:23" ht="13.5" thickBot="1">
      <c r="A13" s="6" t="s">
        <v>6</v>
      </c>
      <c r="B13" s="6">
        <f>B4/B5</f>
        <v>0.34432761328966521</v>
      </c>
      <c r="C13" s="6">
        <f t="shared" si="0"/>
        <v>6.5567238671033481</v>
      </c>
      <c r="E13" s="6" t="s">
        <v>32</v>
      </c>
      <c r="F13" s="6">
        <f>IF(calcolo!M13=0,0.01,calcolo!M13)</f>
        <v>0.01</v>
      </c>
      <c r="G13" s="22">
        <f>10+F13*_COS19</f>
        <v>10.009455185755993</v>
      </c>
      <c r="H13" s="23">
        <f>10+F13*_SEN19</f>
        <v>10.003255681544571</v>
      </c>
      <c r="I13" s="22">
        <f t="shared" si="1"/>
        <v>10.009455185755993</v>
      </c>
      <c r="J13" s="24">
        <f t="shared" si="1"/>
        <v>10.003255681544571</v>
      </c>
      <c r="L13" s="6" t="s">
        <v>6</v>
      </c>
      <c r="M13" s="6">
        <f>calcolo!U5</f>
        <v>0</v>
      </c>
      <c r="N13" s="25">
        <f>10+M13*calcolo!B5</f>
        <v>10</v>
      </c>
      <c r="O13" s="26">
        <f>10+M13*calcolo!B4</f>
        <v>10</v>
      </c>
      <c r="P13" s="27">
        <f>calcolo!J21</f>
        <v>10.009455185755993</v>
      </c>
      <c r="Q13" s="28">
        <f>calcolo!K21</f>
        <v>10.003255681544571</v>
      </c>
      <c r="T13" s="30" t="s">
        <v>8</v>
      </c>
      <c r="U13" s="8">
        <f>scheda!G21</f>
        <v>0</v>
      </c>
      <c r="V13" s="29"/>
      <c r="W13" s="29"/>
    </row>
    <row r="14" spans="1:23" ht="23.25" thickBot="1">
      <c r="A14" s="6" t="s">
        <v>4</v>
      </c>
      <c r="B14" s="6">
        <f>-B3/B2</f>
        <v>-5.1445540159703107</v>
      </c>
      <c r="C14" s="6">
        <f t="shared" si="0"/>
        <v>61.445540159703107</v>
      </c>
      <c r="E14" s="6" t="s">
        <v>31</v>
      </c>
      <c r="F14" s="6">
        <f>IF(calcolo!M14=0,0.01,calcolo!M14)</f>
        <v>0.01</v>
      </c>
      <c r="G14" s="22">
        <f>10+F14*_SEN11</f>
        <v>10.001908089953766</v>
      </c>
      <c r="H14" s="23">
        <f>10-F14*_COS11</f>
        <v>9.9901837281655226</v>
      </c>
      <c r="I14" s="22">
        <f t="shared" si="1"/>
        <v>10.001908089953766</v>
      </c>
      <c r="J14" s="24">
        <f t="shared" si="1"/>
        <v>9.9901837281655226</v>
      </c>
      <c r="L14" s="6" t="s">
        <v>4</v>
      </c>
      <c r="M14" s="6">
        <f>MAX(U6:U8)</f>
        <v>0</v>
      </c>
      <c r="N14" s="25">
        <f>10+M14*calcolo!B2</f>
        <v>10</v>
      </c>
      <c r="O14" s="26">
        <f>10-M14*calcolo!B3</f>
        <v>10</v>
      </c>
      <c r="P14" s="27">
        <f>calcolo!J22</f>
        <v>10.001908089953766</v>
      </c>
      <c r="Q14" s="28">
        <f>calcolo!K22</f>
        <v>9.9901837281655261</v>
      </c>
      <c r="T14" s="31" t="s">
        <v>49</v>
      </c>
      <c r="U14" s="8">
        <f>scheda!G14</f>
        <v>0</v>
      </c>
      <c r="V14" s="29"/>
      <c r="W14" s="29"/>
    </row>
    <row r="15" spans="1:23" ht="13.5" thickBot="1">
      <c r="A15" s="6" t="s">
        <v>7</v>
      </c>
      <c r="B15" s="6">
        <f>B3/B2</f>
        <v>5.1445540159703107</v>
      </c>
      <c r="C15" s="6">
        <f t="shared" si="0"/>
        <v>-41.445540159703107</v>
      </c>
      <c r="E15" s="6" t="s">
        <v>29</v>
      </c>
      <c r="F15" s="6">
        <f>IF(calcolo!M15=0,0.01,calcolo!M15)</f>
        <v>0.01</v>
      </c>
      <c r="G15" s="22">
        <f>10-F15*_SEN11</f>
        <v>9.9980919100462344</v>
      </c>
      <c r="H15" s="23">
        <f>10-F15*_COS11</f>
        <v>9.9901837281655226</v>
      </c>
      <c r="I15" s="22">
        <f t="shared" si="1"/>
        <v>9.9980919100462344</v>
      </c>
      <c r="J15" s="24">
        <f t="shared" si="1"/>
        <v>9.9901837281655226</v>
      </c>
      <c r="L15" s="6" t="s">
        <v>7</v>
      </c>
      <c r="M15" s="6">
        <f>MAX(U9:U12)</f>
        <v>0</v>
      </c>
      <c r="N15" s="25">
        <f>10-M15*calcolo!B2</f>
        <v>10</v>
      </c>
      <c r="O15" s="26">
        <f>10-M15*calcolo!B3</f>
        <v>10</v>
      </c>
      <c r="P15" s="27">
        <f>calcolo!J23</f>
        <v>9.9980919100462344</v>
      </c>
      <c r="Q15" s="28">
        <f>calcolo!K23</f>
        <v>9.9901837281655261</v>
      </c>
      <c r="T15" s="23"/>
      <c r="U15" s="23"/>
      <c r="V15" s="23"/>
      <c r="W15" s="23"/>
    </row>
    <row r="16" spans="1:23" ht="13.5" thickBot="1">
      <c r="A16" s="6" t="s">
        <v>8</v>
      </c>
      <c r="B16" s="6">
        <f>-B4/B5</f>
        <v>-0.34432761328966521</v>
      </c>
      <c r="C16" s="6">
        <f t="shared" si="0"/>
        <v>13.443276132896653</v>
      </c>
      <c r="E16" s="6" t="s">
        <v>8</v>
      </c>
      <c r="F16" s="6">
        <f>IF(calcolo!M16=0,0.01,calcolo!M16)</f>
        <v>0.01</v>
      </c>
      <c r="G16" s="22">
        <f>10-F16*_COS19</f>
        <v>9.9905448142440072</v>
      </c>
      <c r="H16" s="23">
        <f>10+F16*_SEN19</f>
        <v>10.003255681544571</v>
      </c>
      <c r="I16" s="22">
        <f t="shared" si="1"/>
        <v>9.9905448142440072</v>
      </c>
      <c r="J16" s="24">
        <f t="shared" si="1"/>
        <v>10.003255681544571</v>
      </c>
      <c r="L16" s="6" t="s">
        <v>8</v>
      </c>
      <c r="M16" s="6">
        <f>calcolo!U13</f>
        <v>0</v>
      </c>
      <c r="N16" s="25">
        <f>10-M16*calcolo!B5</f>
        <v>10</v>
      </c>
      <c r="O16" s="26">
        <f>10+M16*calcolo!B4</f>
        <v>10</v>
      </c>
      <c r="P16" s="27">
        <f>calcolo!J24</f>
        <v>9.9905448142440072</v>
      </c>
      <c r="Q16" s="28">
        <f>calcolo!K24</f>
        <v>10.003255681544573</v>
      </c>
      <c r="T16" s="32" t="s">
        <v>68</v>
      </c>
      <c r="U16" s="33">
        <f>calcolo!Q37</f>
        <v>2.0473119932357467E-4</v>
      </c>
      <c r="V16" s="23"/>
      <c r="W16" s="23"/>
    </row>
    <row r="17" spans="1:23" ht="13.5" thickBot="1">
      <c r="A17" s="6" t="s">
        <v>9</v>
      </c>
      <c r="B17" s="6">
        <f>-B6/B7</f>
        <v>-0.86928673781622634</v>
      </c>
      <c r="C17" s="6">
        <f t="shared" si="0"/>
        <v>18.692867378162262</v>
      </c>
      <c r="E17" s="6" t="s">
        <v>30</v>
      </c>
      <c r="F17" s="6">
        <f>IF(calcolo!M17=0,0.01,calcolo!M17)</f>
        <v>0.01</v>
      </c>
      <c r="G17" s="34">
        <f>10-F17*_COS41</f>
        <v>9.9924529041977728</v>
      </c>
      <c r="H17" s="35">
        <f>10+F17*_SEN41</f>
        <v>10.006560590289904</v>
      </c>
      <c r="I17" s="22">
        <f t="shared" si="1"/>
        <v>9.9924529041977728</v>
      </c>
      <c r="J17" s="24">
        <f t="shared" si="1"/>
        <v>10.006560590289904</v>
      </c>
      <c r="L17" s="6" t="s">
        <v>9</v>
      </c>
      <c r="M17" s="6">
        <f>calcolo!U14</f>
        <v>0</v>
      </c>
      <c r="N17" s="36">
        <f>10-M17*calcolo!B7</f>
        <v>10</v>
      </c>
      <c r="O17" s="37">
        <f>10+M17*calcolo!B6</f>
        <v>10</v>
      </c>
      <c r="P17" s="27">
        <f>calcolo!J25</f>
        <v>9.9924529041977728</v>
      </c>
      <c r="Q17" s="28">
        <f>calcolo!K25</f>
        <v>10.006560590289903</v>
      </c>
      <c r="T17" s="32" t="s">
        <v>69</v>
      </c>
      <c r="U17" s="33">
        <f>calcolo!S37</f>
        <v>2.6320901160873524</v>
      </c>
      <c r="V17" s="23"/>
      <c r="W17" s="23"/>
    </row>
    <row r="18" spans="1:23" ht="13.5" thickBot="1">
      <c r="E18" s="6" t="s">
        <v>16</v>
      </c>
      <c r="I18" s="34">
        <f>I12</f>
        <v>10.007547095802227</v>
      </c>
      <c r="J18" s="38">
        <f>J12</f>
        <v>10.006560590289904</v>
      </c>
      <c r="N18" s="39">
        <f>N12</f>
        <v>10</v>
      </c>
      <c r="O18" s="39">
        <f>O12</f>
        <v>10</v>
      </c>
      <c r="P18" s="40">
        <f>calcolo!J26</f>
        <v>10.007547095802227</v>
      </c>
      <c r="Q18" s="41">
        <f>calcolo!K26</f>
        <v>10.006560590289904</v>
      </c>
      <c r="T18" s="32" t="s">
        <v>70</v>
      </c>
      <c r="U18" s="33">
        <f>ABS(U16-U17)</f>
        <v>2.631885384888029</v>
      </c>
      <c r="V18" s="23"/>
      <c r="W18" s="23"/>
    </row>
    <row r="19" spans="1:23">
      <c r="I19" s="23"/>
      <c r="J19" s="23" t="s">
        <v>1</v>
      </c>
      <c r="K19" s="6" t="s">
        <v>2</v>
      </c>
      <c r="P19" s="6">
        <f t="shared" ref="P19:P24" si="2">10+J57</f>
        <v>10.754709580222773</v>
      </c>
      <c r="R19" s="6">
        <f t="shared" ref="R19:R24" si="3">10+K57</f>
        <v>11</v>
      </c>
      <c r="S19" s="14" t="s">
        <v>72</v>
      </c>
      <c r="T19" s="23"/>
      <c r="U19" s="23"/>
      <c r="V19" s="23"/>
      <c r="W19" s="23"/>
    </row>
    <row r="20" spans="1:23">
      <c r="E20" s="16" t="s">
        <v>33</v>
      </c>
      <c r="F20" s="17" t="s">
        <v>35</v>
      </c>
      <c r="G20" s="17"/>
      <c r="H20" s="18"/>
      <c r="I20" s="6" t="s">
        <v>5</v>
      </c>
      <c r="J20" s="6">
        <f>MAX(I12,H33,F35)</f>
        <v>10.007547095802227</v>
      </c>
      <c r="K20" s="6">
        <f t="shared" ref="K20:K25" si="4">B12*J20+C12</f>
        <v>10.006560590289904</v>
      </c>
      <c r="P20" s="6">
        <f t="shared" si="2"/>
        <v>10.945518575599317</v>
      </c>
      <c r="R20" s="6">
        <f t="shared" si="3"/>
        <v>10.325568154457157</v>
      </c>
      <c r="S20" s="14" t="s">
        <v>54</v>
      </c>
      <c r="T20" s="42" t="s">
        <v>71</v>
      </c>
      <c r="U20" s="23"/>
      <c r="V20" s="23"/>
      <c r="W20" s="23"/>
    </row>
    <row r="21" spans="1:23">
      <c r="A21" s="6" t="s">
        <v>23</v>
      </c>
      <c r="B21" s="6">
        <f>(J14-J12)/(I14-I12)</f>
        <v>2.9042108776761566</v>
      </c>
      <c r="C21" s="6">
        <f>J12-I12*B21</f>
        <v>-19.057466544195353</v>
      </c>
      <c r="E21" s="22" t="s">
        <v>34</v>
      </c>
      <c r="F21" s="23">
        <f>(C21-C13)/(B13-B21)</f>
        <v>10.005999401475624</v>
      </c>
      <c r="G21" s="23"/>
      <c r="H21" s="24"/>
      <c r="I21" s="6" t="s">
        <v>32</v>
      </c>
      <c r="J21" s="6">
        <f>MAX(I13,F21,F22)</f>
        <v>10.009455185755993</v>
      </c>
      <c r="K21" s="6">
        <f t="shared" si="4"/>
        <v>10.003255681544571</v>
      </c>
      <c r="P21" s="6">
        <f t="shared" si="2"/>
        <v>10.190808995376544</v>
      </c>
      <c r="R21" s="6">
        <f t="shared" si="3"/>
        <v>9.0183728165523362</v>
      </c>
      <c r="S21" s="14" t="s">
        <v>73</v>
      </c>
      <c r="T21" s="43" t="s">
        <v>115</v>
      </c>
      <c r="U21" s="23"/>
      <c r="V21" s="23"/>
      <c r="W21" s="23"/>
    </row>
    <row r="22" spans="1:23">
      <c r="A22" s="6" t="s">
        <v>22</v>
      </c>
      <c r="B22" s="6">
        <f>(J15-J12)/(I15-I12)</f>
        <v>1.7320508075689569</v>
      </c>
      <c r="C22" s="6">
        <f>J12-I12*B22</f>
        <v>-7.3270194387787129</v>
      </c>
      <c r="E22" s="22" t="s">
        <v>34</v>
      </c>
      <c r="F22" s="23">
        <f>(C22-C13)/(B13-B22)</f>
        <v>10.004692119520655</v>
      </c>
      <c r="G22" s="23" t="s">
        <v>36</v>
      </c>
      <c r="H22" s="24">
        <f>(C22-C14)/(B14-B22)</f>
        <v>10.000946886327808</v>
      </c>
      <c r="I22" s="6" t="s">
        <v>31</v>
      </c>
      <c r="J22" s="6">
        <f>MAX(I14,F24,H22)</f>
        <v>10.001908089953766</v>
      </c>
      <c r="K22" s="6">
        <f t="shared" si="4"/>
        <v>9.9901837281655261</v>
      </c>
      <c r="P22" s="6">
        <f t="shared" si="2"/>
        <v>9.8091910046234556</v>
      </c>
      <c r="R22" s="6">
        <f t="shared" si="3"/>
        <v>9.0183728165523362</v>
      </c>
      <c r="S22" s="14" t="s">
        <v>55</v>
      </c>
    </row>
    <row r="23" spans="1:23">
      <c r="E23" s="22"/>
      <c r="F23" s="23"/>
      <c r="G23" s="23"/>
      <c r="H23" s="24"/>
      <c r="I23" s="6" t="s">
        <v>29</v>
      </c>
      <c r="J23" s="6">
        <f>MIN(I15,F26,F27)</f>
        <v>9.9980919100462344</v>
      </c>
      <c r="K23" s="6">
        <f t="shared" si="4"/>
        <v>9.9901837281655261</v>
      </c>
      <c r="P23" s="6">
        <f t="shared" si="2"/>
        <v>9.0544814244006826</v>
      </c>
      <c r="R23" s="6">
        <f t="shared" si="3"/>
        <v>10.325568154457157</v>
      </c>
      <c r="S23" s="14" t="s">
        <v>56</v>
      </c>
    </row>
    <row r="24" spans="1:23">
      <c r="A24" s="6" t="s">
        <v>24</v>
      </c>
      <c r="B24" s="6">
        <f>(J15-J13)/(I15-I13)</f>
        <v>1.1503684072210736</v>
      </c>
      <c r="C24" s="6">
        <f>J13-I13*B24</f>
        <v>-1.5113053376442647</v>
      </c>
      <c r="E24" s="22" t="s">
        <v>36</v>
      </c>
      <c r="F24" s="23">
        <f>(C24-C14)/(B14-B24)</f>
        <v>10.001210700453663</v>
      </c>
      <c r="G24" s="23"/>
      <c r="H24" s="24"/>
      <c r="I24" s="6" t="s">
        <v>8</v>
      </c>
      <c r="J24" s="6">
        <f>MIN(I16,H27,F29)</f>
        <v>9.9905448142440072</v>
      </c>
      <c r="K24" s="6">
        <f t="shared" si="4"/>
        <v>10.003255681544573</v>
      </c>
      <c r="P24" s="6">
        <f t="shared" si="2"/>
        <v>9.245290419777227</v>
      </c>
      <c r="R24" s="6">
        <f t="shared" si="3"/>
        <v>11</v>
      </c>
      <c r="S24" s="14" t="s">
        <v>74</v>
      </c>
    </row>
    <row r="25" spans="1:23">
      <c r="E25" s="22"/>
      <c r="F25" s="23"/>
      <c r="G25" s="23"/>
      <c r="H25" s="24"/>
      <c r="I25" s="6" t="s">
        <v>30</v>
      </c>
      <c r="J25" s="6">
        <f>MIN(I17,F31,F33)</f>
        <v>9.9924529041977728</v>
      </c>
      <c r="K25" s="6">
        <f t="shared" si="4"/>
        <v>10.006560590289903</v>
      </c>
      <c r="P25" s="6">
        <f>P19</f>
        <v>10.754709580222773</v>
      </c>
      <c r="R25" s="6">
        <f>R19</f>
        <v>11</v>
      </c>
      <c r="S25" s="14" t="s">
        <v>16</v>
      </c>
    </row>
    <row r="26" spans="1:23">
      <c r="A26" s="6" t="s">
        <v>25</v>
      </c>
      <c r="B26" s="6">
        <f>(J16-J14)/(I16-I14)</f>
        <v>-1.1503684072210736</v>
      </c>
      <c r="C26" s="6">
        <f>J14-I14*B26</f>
        <v>21.496062806777207</v>
      </c>
      <c r="E26" s="22" t="s">
        <v>37</v>
      </c>
      <c r="F26" s="23">
        <f>(C26-C15)/(B15-B26)</f>
        <v>9.9987892995463383</v>
      </c>
      <c r="G26" s="23"/>
      <c r="H26" s="24"/>
      <c r="I26" s="6" t="s">
        <v>16</v>
      </c>
      <c r="J26" s="6">
        <f>J20</f>
        <v>10.007547095802227</v>
      </c>
      <c r="K26" s="6">
        <f>K20</f>
        <v>10.006560590289904</v>
      </c>
    </row>
    <row r="27" spans="1:23">
      <c r="A27" s="6" t="s">
        <v>26</v>
      </c>
      <c r="B27" s="6">
        <f>(J17-J14)/(I17-I14)</f>
        <v>-1.7320508075689569</v>
      </c>
      <c r="C27" s="6">
        <f>J14-I14*B27</f>
        <v>27.313996712600424</v>
      </c>
      <c r="E27" s="22" t="s">
        <v>37</v>
      </c>
      <c r="F27" s="23">
        <f>(C27-C15)/(B15-B27)</f>
        <v>9.9990531136721916</v>
      </c>
      <c r="G27" s="23" t="s">
        <v>38</v>
      </c>
      <c r="H27" s="24">
        <f>(C27-C16)/(B16-B27)</f>
        <v>9.9953078804793449</v>
      </c>
    </row>
    <row r="28" spans="1:23">
      <c r="E28" s="22"/>
      <c r="F28" s="23"/>
      <c r="G28" s="23"/>
      <c r="H28" s="24"/>
    </row>
    <row r="29" spans="1:23">
      <c r="A29" s="6" t="s">
        <v>27</v>
      </c>
      <c r="B29" s="6">
        <f>(J17-J15)/(I17-I15)</f>
        <v>-2.9042108776761566</v>
      </c>
      <c r="C29" s="6">
        <f>J15-I15*B29</f>
        <v>39.026751009327782</v>
      </c>
      <c r="E29" s="22" t="s">
        <v>38</v>
      </c>
      <c r="F29" s="23">
        <f>(C29-C16)/(B16-B29)</f>
        <v>9.9940005985243765</v>
      </c>
      <c r="G29" s="23"/>
      <c r="H29" s="24"/>
    </row>
    <row r="30" spans="1:23">
      <c r="E30" s="22"/>
      <c r="F30" s="23"/>
      <c r="G30" s="23"/>
      <c r="H30" s="24"/>
    </row>
    <row r="31" spans="1:23">
      <c r="A31" s="6" t="s">
        <v>28</v>
      </c>
      <c r="B31" s="6">
        <f>(J12-J16)/(I12-I16)</f>
        <v>0.19438030913770904</v>
      </c>
      <c r="C31" s="6">
        <f>J16-I16*B31</f>
        <v>8.0612904920976849</v>
      </c>
      <c r="E31" s="22" t="s">
        <v>39</v>
      </c>
      <c r="F31" s="23">
        <f>(C31-C17)/(B17-B31)</f>
        <v>9.9952112989780382</v>
      </c>
      <c r="G31" s="23"/>
      <c r="H31" s="24"/>
      <c r="P31" s="23" t="s">
        <v>60</v>
      </c>
      <c r="Q31" s="24">
        <f>(Q12+Q17)*(P12-P17)/2</f>
        <v>0.15104094285141881</v>
      </c>
      <c r="R31" s="24"/>
      <c r="S31" s="24">
        <f>(R19+R24)*(P19-P24)/2</f>
        <v>16.603610764901006</v>
      </c>
    </row>
    <row r="32" spans="1:23">
      <c r="E32" s="22"/>
      <c r="F32" s="23"/>
      <c r="G32" s="23"/>
      <c r="H32" s="24"/>
      <c r="P32" s="23" t="s">
        <v>61</v>
      </c>
      <c r="Q32" s="24">
        <f>(Q12+Q13)*(P13-P12)/2</f>
        <v>1.9090264702491078E-2</v>
      </c>
      <c r="S32" s="24">
        <f>(R19+R20)*(P20-P19)/2</f>
        <v>2.034555117692999</v>
      </c>
    </row>
    <row r="33" spans="1:19">
      <c r="A33" s="6" t="s">
        <v>40</v>
      </c>
      <c r="B33" s="6">
        <f>(J13-J16)/(I13-I16)</f>
        <v>0</v>
      </c>
      <c r="C33" s="6">
        <f>J16-I16*B33</f>
        <v>10.003255681544571</v>
      </c>
      <c r="E33" s="22" t="s">
        <v>39</v>
      </c>
      <c r="F33" s="23">
        <f>(C33-C17)/(B17-B33)</f>
        <v>9.9962547668071515</v>
      </c>
      <c r="G33" s="23" t="s">
        <v>42</v>
      </c>
      <c r="H33" s="24">
        <f>(C33-C12)/(B12-B33)</f>
        <v>10.003745233192848</v>
      </c>
      <c r="P33" s="23" t="s">
        <v>62</v>
      </c>
      <c r="Q33" s="24">
        <f>(Q13+Q14)*(P13-P14)/2</f>
        <v>7.544620132055381E-2</v>
      </c>
      <c r="S33" s="24">
        <f>(R20+R21)*(P20-P21)/2</f>
        <v>7.2995287850423383</v>
      </c>
    </row>
    <row r="34" spans="1:19">
      <c r="E34" s="22"/>
      <c r="F34" s="23"/>
      <c r="G34" s="23"/>
      <c r="H34" s="24"/>
      <c r="P34" s="23" t="s">
        <v>63</v>
      </c>
      <c r="Q34" s="24">
        <f>(Q14+Q15)*(P14-P15)/2</f>
        <v>3.812433841596978E-2</v>
      </c>
      <c r="S34" s="24">
        <f>(R21+R22)*(P21-P22)/2</f>
        <v>3.4415733141149767</v>
      </c>
    </row>
    <row r="35" spans="1:19">
      <c r="A35" s="6" t="s">
        <v>41</v>
      </c>
      <c r="B35" s="6">
        <f>(J13-J17)/(I13-I17)</f>
        <v>-0.19438030913770904</v>
      </c>
      <c r="C35" s="6">
        <f>J17-I17*B35</f>
        <v>11.948896674851866</v>
      </c>
      <c r="E35" s="34" t="s">
        <v>42</v>
      </c>
      <c r="F35" s="35">
        <f>(C35-C12)/(B12-B35)</f>
        <v>10.004788701021964</v>
      </c>
      <c r="G35" s="35"/>
      <c r="H35" s="38"/>
      <c r="P35" s="23" t="s">
        <v>64</v>
      </c>
      <c r="Q35" s="24">
        <f>(Q15+Q16)*(P15-P16)/2</f>
        <v>7.544620132055381E-2</v>
      </c>
      <c r="S35" s="24">
        <f>(R22+R23)*(P22-P23)/2</f>
        <v>7.2995287850423383</v>
      </c>
    </row>
    <row r="36" spans="1:19" ht="13.5" thickBot="1">
      <c r="P36" s="23" t="s">
        <v>65</v>
      </c>
      <c r="Q36" s="24">
        <f>(Q16+Q17)*(P17-P16)/2</f>
        <v>1.9090264702491078E-2</v>
      </c>
      <c r="S36" s="24">
        <f>(R23+R24)*(P24-P23)/2</f>
        <v>2.034555117692999</v>
      </c>
    </row>
    <row r="37" spans="1:19" ht="13.5" thickBo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44" t="s">
        <v>66</v>
      </c>
      <c r="Q37" s="45">
        <f>Q31+Q32-Q33-Q34-Q35+Q36</f>
        <v>2.0473119932357467E-4</v>
      </c>
      <c r="S37" s="45">
        <f>S31+S32-S33-S34-S35+S36</f>
        <v>2.6320901160873524</v>
      </c>
    </row>
    <row r="38" spans="1:19">
      <c r="A38" s="6" t="s">
        <v>71</v>
      </c>
      <c r="C38" s="6" t="s">
        <v>1</v>
      </c>
      <c r="D38" s="6" t="s">
        <v>2</v>
      </c>
      <c r="E38" s="6" t="s">
        <v>19</v>
      </c>
      <c r="F38" s="6" t="s">
        <v>20</v>
      </c>
    </row>
    <row r="39" spans="1:19">
      <c r="A39" s="6" t="s">
        <v>72</v>
      </c>
      <c r="B39" s="6">
        <f>IF(MAX(calcolo!W4,calcolo!W5)=0,1,MAX(calcolo!W4,calcolo!W5))</f>
        <v>1</v>
      </c>
      <c r="C39" s="6">
        <f>_COS41</f>
        <v>0.75470958022277213</v>
      </c>
      <c r="D39" s="6">
        <f>B39</f>
        <v>1</v>
      </c>
    </row>
    <row r="40" spans="1:19">
      <c r="A40" s="6" t="s">
        <v>54</v>
      </c>
      <c r="B40" s="6">
        <f>IF(calcolo!W6=0,1,calcolo!W6)</f>
        <v>1</v>
      </c>
      <c r="C40" s="6">
        <f>E49</f>
        <v>0.94551857559931674</v>
      </c>
      <c r="D40" s="6">
        <f t="shared" ref="C40:D43" si="5">F49</f>
        <v>0.3255681544571567</v>
      </c>
      <c r="E40" s="6">
        <f>-1/3^0.5</f>
        <v>-0.57735026918962584</v>
      </c>
    </row>
    <row r="41" spans="1:19">
      <c r="A41" s="6" t="s">
        <v>73</v>
      </c>
      <c r="B41" s="6">
        <f>IF(calcolo!W7=0,1,calcolo!W7)</f>
        <v>1</v>
      </c>
      <c r="C41" s="6">
        <f>E50</f>
        <v>0.19080899537654483</v>
      </c>
      <c r="D41" s="6">
        <f t="shared" si="5"/>
        <v>-0.98162718344766398</v>
      </c>
      <c r="E41" s="6">
        <f>-1/3^0.5</f>
        <v>-0.57735026918962584</v>
      </c>
    </row>
    <row r="42" spans="1:19">
      <c r="A42" s="6" t="s">
        <v>55</v>
      </c>
      <c r="B42" s="6">
        <f>IF(calcolo!W8=0,1,calcolo!W8)</f>
        <v>1</v>
      </c>
      <c r="C42" s="6">
        <f t="shared" si="5"/>
        <v>-0.19080899537654483</v>
      </c>
      <c r="D42" s="6">
        <f t="shared" si="5"/>
        <v>-0.98162718344766398</v>
      </c>
      <c r="E42" s="6">
        <f>1/3^0.5</f>
        <v>0.57735026918962584</v>
      </c>
    </row>
    <row r="43" spans="1:19">
      <c r="A43" s="6" t="s">
        <v>56</v>
      </c>
      <c r="B43" s="6">
        <f>IF(calcolo!W9=0,1,calcolo!W9)</f>
        <v>1</v>
      </c>
      <c r="C43" s="6">
        <f t="shared" si="5"/>
        <v>-0.94551857559931674</v>
      </c>
      <c r="D43" s="6">
        <f t="shared" si="5"/>
        <v>0.3255681544571567</v>
      </c>
      <c r="E43" s="6">
        <f>1/3^0.5</f>
        <v>0.57735026918962584</v>
      </c>
    </row>
    <row r="44" spans="1:19">
      <c r="A44" s="6" t="s">
        <v>74</v>
      </c>
      <c r="B44" s="6">
        <f>IF(MAX(calcolo!W10,calcolo!W11)=0,1,MAX(calcolo!W10,calcolo!W11))</f>
        <v>1</v>
      </c>
      <c r="C44" s="6">
        <f>-_COS41</f>
        <v>-0.75470958022277213</v>
      </c>
      <c r="D44" s="6">
        <f>B44</f>
        <v>1</v>
      </c>
    </row>
    <row r="47" spans="1:19">
      <c r="B47" s="6" t="s">
        <v>82</v>
      </c>
      <c r="H47" s="46" t="s">
        <v>83</v>
      </c>
      <c r="I47" s="46"/>
      <c r="J47" s="46"/>
    </row>
    <row r="48" spans="1:19">
      <c r="B48" s="6" t="s">
        <v>19</v>
      </c>
      <c r="C48" s="6" t="s">
        <v>20</v>
      </c>
      <c r="E48" s="6" t="s">
        <v>1</v>
      </c>
      <c r="F48" s="6" t="s">
        <v>2</v>
      </c>
      <c r="H48" s="6" t="s">
        <v>71</v>
      </c>
      <c r="I48" s="16" t="s">
        <v>1</v>
      </c>
      <c r="J48" s="18" t="s">
        <v>2</v>
      </c>
    </row>
    <row r="49" spans="1:11">
      <c r="A49" s="6" t="s">
        <v>77</v>
      </c>
      <c r="B49" s="6">
        <f>-_SEN30/_COS30</f>
        <v>-0.57735026918962562</v>
      </c>
      <c r="C49" s="6">
        <f>_SEN19-B49*_COS19</f>
        <v>0.87146355860321356</v>
      </c>
      <c r="E49" s="6">
        <f>(-B49*C49+((B49*C49)^2-(1+B49^2)*(C49^2-B40^2))^0.5)/(1+B49^2)</f>
        <v>0.94551857559931674</v>
      </c>
      <c r="F49" s="6">
        <f>B49*E49+C49</f>
        <v>0.3255681544571567</v>
      </c>
      <c r="H49" s="6" t="s">
        <v>72</v>
      </c>
      <c r="I49" s="22">
        <f>C39</f>
        <v>0.75470958022277213</v>
      </c>
      <c r="J49" s="24">
        <f>D39</f>
        <v>1</v>
      </c>
    </row>
    <row r="50" spans="1:11">
      <c r="A50" s="6" t="s">
        <v>78</v>
      </c>
      <c r="B50" s="6">
        <f>-_SEN30/_COS30</f>
        <v>-0.57735026918962562</v>
      </c>
      <c r="C50" s="6">
        <f>-_COS11-B50*_SEN11</f>
        <v>-0.87146355860321378</v>
      </c>
      <c r="E50" s="6">
        <f>(-B50*C50+((B50*C50)^2-(1+B50^2)*(C50^2-B41^2))^0.5)/(1+B50^2)</f>
        <v>0.19080899537654483</v>
      </c>
      <c r="F50" s="6">
        <f>B50*E50+C50</f>
        <v>-0.98162718344766398</v>
      </c>
      <c r="H50" s="6" t="s">
        <v>54</v>
      </c>
      <c r="I50" s="22">
        <f t="shared" ref="I50:J53" si="6">E49</f>
        <v>0.94551857559931674</v>
      </c>
      <c r="J50" s="24">
        <f t="shared" si="6"/>
        <v>0.3255681544571567</v>
      </c>
    </row>
    <row r="51" spans="1:11">
      <c r="A51" s="6" t="s">
        <v>79</v>
      </c>
      <c r="B51" s="6">
        <f>_SEN30/_COS30</f>
        <v>0.57735026918962562</v>
      </c>
      <c r="C51" s="6">
        <f>-_COS11+B51*_SEN11</f>
        <v>-0.87146355860321378</v>
      </c>
      <c r="E51" s="6">
        <f>(-B51*C51-((B51*C51)^2-(1+B51^2)*(C51^2-B42^2))^0.5)/(1+B51^2)</f>
        <v>-0.19080899537654483</v>
      </c>
      <c r="F51" s="6">
        <f>B51*E51+C51</f>
        <v>-0.98162718344766398</v>
      </c>
      <c r="H51" s="6" t="s">
        <v>73</v>
      </c>
      <c r="I51" s="22">
        <f t="shared" si="6"/>
        <v>0.19080899537654483</v>
      </c>
      <c r="J51" s="24">
        <f t="shared" si="6"/>
        <v>-0.98162718344766398</v>
      </c>
    </row>
    <row r="52" spans="1:11">
      <c r="A52" s="6" t="s">
        <v>80</v>
      </c>
      <c r="B52" s="6">
        <f>_SEN30/_COS30</f>
        <v>0.57735026918962562</v>
      </c>
      <c r="C52" s="6">
        <f>_SEN19+B52*_COS19</f>
        <v>0.87146355860321356</v>
      </c>
      <c r="E52" s="6">
        <f>(-B52*C52-((B52*C52)^2-(1+B52^2)*(C52^2-B43^2))^0.5)/(1+B52^2)</f>
        <v>-0.94551857559931674</v>
      </c>
      <c r="F52" s="6">
        <f>B52*E52+C52</f>
        <v>0.3255681544571567</v>
      </c>
      <c r="H52" s="6" t="s">
        <v>55</v>
      </c>
      <c r="I52" s="22">
        <f t="shared" si="6"/>
        <v>-0.19080899537654483</v>
      </c>
      <c r="J52" s="24">
        <f t="shared" si="6"/>
        <v>-0.98162718344766398</v>
      </c>
    </row>
    <row r="53" spans="1:11">
      <c r="H53" s="6" t="s">
        <v>56</v>
      </c>
      <c r="I53" s="22">
        <f t="shared" si="6"/>
        <v>-0.94551857559931674</v>
      </c>
      <c r="J53" s="24">
        <f t="shared" si="6"/>
        <v>0.3255681544571567</v>
      </c>
    </row>
    <row r="54" spans="1:11">
      <c r="H54" s="6" t="s">
        <v>74</v>
      </c>
      <c r="I54" s="22">
        <f>C44</f>
        <v>-0.75470958022277213</v>
      </c>
      <c r="J54" s="24">
        <f>D44</f>
        <v>1</v>
      </c>
    </row>
    <row r="55" spans="1:11">
      <c r="I55" s="34">
        <f>I49</f>
        <v>0.75470958022277213</v>
      </c>
      <c r="J55" s="38">
        <f>J49</f>
        <v>1</v>
      </c>
    </row>
    <row r="56" spans="1:11">
      <c r="I56" s="23"/>
      <c r="J56" s="23" t="s">
        <v>1</v>
      </c>
      <c r="K56" s="6" t="s">
        <v>2</v>
      </c>
    </row>
    <row r="57" spans="1:11">
      <c r="B57" s="6" t="s">
        <v>19</v>
      </c>
      <c r="C57" s="6" t="s">
        <v>20</v>
      </c>
      <c r="E57" s="16" t="s">
        <v>33</v>
      </c>
      <c r="F57" s="17" t="s">
        <v>35</v>
      </c>
      <c r="G57" s="17"/>
      <c r="H57" s="18"/>
      <c r="I57" s="6" t="s">
        <v>72</v>
      </c>
      <c r="J57" s="6">
        <f>C39</f>
        <v>0.75470958022277213</v>
      </c>
      <c r="K57" s="6">
        <f>MAX(D39,H70,H71)</f>
        <v>1</v>
      </c>
    </row>
    <row r="58" spans="1:11">
      <c r="A58" s="6" t="s">
        <v>84</v>
      </c>
      <c r="B58" s="6">
        <f>(J51-J49)/(I51-I49)</f>
        <v>3.5141428058423512</v>
      </c>
      <c r="C58" s="6">
        <f>J49-I49*B58</f>
        <v>-1.6521572418401553</v>
      </c>
      <c r="E58" s="22" t="s">
        <v>77</v>
      </c>
      <c r="F58" s="23">
        <f>(C58-C49)/(B49-B58)</f>
        <v>0.61679703574315481</v>
      </c>
      <c r="G58" s="23"/>
      <c r="H58" s="24"/>
      <c r="I58" s="6" t="s">
        <v>54</v>
      </c>
      <c r="J58" s="6">
        <f>MAX(I50,F58,F71)</f>
        <v>0.94551857559931674</v>
      </c>
      <c r="K58" s="6">
        <f>B49*J58+C49</f>
        <v>0.3255681544571567</v>
      </c>
    </row>
    <row r="59" spans="1:11">
      <c r="I59" s="6" t="s">
        <v>73</v>
      </c>
      <c r="J59" s="6">
        <f>MAX(I51,F60,F61)</f>
        <v>0.19080899537654483</v>
      </c>
      <c r="K59" s="6">
        <f>B50*J59+C50</f>
        <v>-0.98162718344766398</v>
      </c>
    </row>
    <row r="60" spans="1:11">
      <c r="A60" s="6" t="s">
        <v>92</v>
      </c>
      <c r="B60" s="6">
        <f>(J52-J50)/(I52-I50)</f>
        <v>1.1503684072210096</v>
      </c>
      <c r="C60" s="6">
        <f>J50-I50*B60</f>
        <v>-0.76212654335290697</v>
      </c>
      <c r="E60" s="22" t="s">
        <v>93</v>
      </c>
      <c r="F60" s="23">
        <f>(C60-C50)/(B50-B60)</f>
        <v>-6.3284038508778701E-2</v>
      </c>
      <c r="I60" s="6" t="s">
        <v>55</v>
      </c>
      <c r="J60" s="6">
        <f>MIN(I52,F63,H61)</f>
        <v>-0.19080899537654483</v>
      </c>
      <c r="K60" s="6">
        <f>B51*J60+C51</f>
        <v>-0.98162718344766398</v>
      </c>
    </row>
    <row r="61" spans="1:11">
      <c r="A61" s="6" t="s">
        <v>85</v>
      </c>
      <c r="B61" s="6">
        <f>(J53-J50)/(I53-I50)</f>
        <v>0</v>
      </c>
      <c r="C61" s="6">
        <f>J50-I50*B61</f>
        <v>0.3255681544571567</v>
      </c>
      <c r="E61" s="47" t="s">
        <v>93</v>
      </c>
      <c r="F61" s="48">
        <f>(C61-C50)/(B50-B61)</f>
        <v>-2.073319745291772</v>
      </c>
      <c r="G61" s="23" t="s">
        <v>94</v>
      </c>
      <c r="H61" s="24">
        <f>(C61-C51)/(B51-B61)</f>
        <v>2.073319745291772</v>
      </c>
      <c r="I61" s="6" t="s">
        <v>56</v>
      </c>
      <c r="J61" s="6">
        <f>MIN(I53,F65,F66)</f>
        <v>-0.94551857559931674</v>
      </c>
      <c r="K61" s="6">
        <f>B52*J61+C52</f>
        <v>0.3255681544571567</v>
      </c>
    </row>
    <row r="62" spans="1:11">
      <c r="E62" s="47"/>
      <c r="F62" s="48"/>
      <c r="G62" s="48"/>
      <c r="H62" s="49"/>
      <c r="I62" s="6" t="s">
        <v>74</v>
      </c>
      <c r="J62" s="6">
        <f>C44</f>
        <v>-0.75470958022277213</v>
      </c>
      <c r="K62" s="6">
        <f>MAX(J54,H66,H68)</f>
        <v>1</v>
      </c>
    </row>
    <row r="63" spans="1:11">
      <c r="A63" s="6" t="s">
        <v>86</v>
      </c>
      <c r="B63" s="6">
        <f>(J53-J51)/(I53-I51)</f>
        <v>-1.1503684072210096</v>
      </c>
      <c r="C63" s="6">
        <f>J51-I51*B63</f>
        <v>-0.76212654335290708</v>
      </c>
      <c r="E63" s="47" t="s">
        <v>94</v>
      </c>
      <c r="F63" s="48">
        <f>(C63-C51)/(B51-B63)</f>
        <v>6.3284038508778631E-2</v>
      </c>
      <c r="G63" s="48"/>
      <c r="H63" s="49"/>
      <c r="I63" s="6" t="s">
        <v>16</v>
      </c>
    </row>
    <row r="64" spans="1:11">
      <c r="E64" s="50"/>
      <c r="F64" s="50"/>
      <c r="G64" s="50"/>
      <c r="H64" s="50"/>
    </row>
    <row r="65" spans="1:8">
      <c r="A65" s="6" t="s">
        <v>87</v>
      </c>
      <c r="B65" s="6">
        <f>(J54-J52)/(I54-I52)</f>
        <v>-3.5141428058423512</v>
      </c>
      <c r="C65" s="6">
        <f>J52-I52*B65</f>
        <v>-1.6521572418401553</v>
      </c>
      <c r="E65" s="47" t="s">
        <v>95</v>
      </c>
      <c r="F65" s="48">
        <f>(C65-C52)/(B52-B65)</f>
        <v>-0.61679703574315481</v>
      </c>
      <c r="G65" s="48"/>
      <c r="H65" s="49"/>
    </row>
    <row r="66" spans="1:8">
      <c r="A66" s="6" t="s">
        <v>88</v>
      </c>
      <c r="B66" s="6">
        <f>(J49-J52)/(I49-I52)</f>
        <v>2.0958098916159416</v>
      </c>
      <c r="C66" s="6">
        <f>J52-I52*B66</f>
        <v>-0.58172780352820086</v>
      </c>
      <c r="E66" s="47" t="s">
        <v>95</v>
      </c>
      <c r="F66" s="48">
        <f>(C66-C52)/(B52-B66)</f>
        <v>0.95701679561909558</v>
      </c>
      <c r="G66" s="51" t="s">
        <v>96</v>
      </c>
      <c r="H66" s="52">
        <f>B66*C44+C66</f>
        <v>-2.1634556070564015</v>
      </c>
    </row>
    <row r="67" spans="1:8">
      <c r="E67" s="47"/>
      <c r="F67" s="48"/>
      <c r="G67" s="48"/>
      <c r="H67" s="49"/>
    </row>
    <row r="68" spans="1:8">
      <c r="A68" s="6" t="s">
        <v>89</v>
      </c>
      <c r="B68" s="6">
        <f>(J49-J53)/(I49-I53)</f>
        <v>0.39667137803440516</v>
      </c>
      <c r="C68" s="6">
        <f>J53-I53*B68</f>
        <v>0.70062831079726551</v>
      </c>
      <c r="E68" s="47" t="s">
        <v>95</v>
      </c>
      <c r="F68" s="48">
        <f>(C68-C52)/(B52-B68)</f>
        <v>-0.94551857559931685</v>
      </c>
      <c r="G68" s="51" t="s">
        <v>96</v>
      </c>
      <c r="H68" s="52">
        <f>B68*C44+C68</f>
        <v>0.40125662159453102</v>
      </c>
    </row>
    <row r="69" spans="1:8">
      <c r="E69" s="47"/>
      <c r="F69" s="48"/>
      <c r="G69" s="48"/>
      <c r="H69" s="49"/>
    </row>
    <row r="70" spans="1:8">
      <c r="A70" s="6" t="s">
        <v>90</v>
      </c>
      <c r="B70" s="6">
        <f>(J50-J54)/(I50-I54)</f>
        <v>-0.39667137803440516</v>
      </c>
      <c r="C70" s="6">
        <f>J54-I54*B70</f>
        <v>0.70062831079726551</v>
      </c>
      <c r="E70" s="47"/>
      <c r="F70" s="48"/>
      <c r="G70" s="47" t="s">
        <v>97</v>
      </c>
      <c r="H70" s="52">
        <f>B70*C39+C70</f>
        <v>0.40125662159453102</v>
      </c>
    </row>
    <row r="71" spans="1:8">
      <c r="A71" s="6" t="s">
        <v>91</v>
      </c>
      <c r="B71" s="6">
        <f>(J51-J54)/(I51-I54)</f>
        <v>-2.0958098916159416</v>
      </c>
      <c r="C71" s="6">
        <f>J54-I54*B71</f>
        <v>-0.58172780352820075</v>
      </c>
      <c r="E71" s="53" t="s">
        <v>98</v>
      </c>
      <c r="F71" s="54">
        <f>(C71-C49)/(B49-B71)</f>
        <v>-0.95701679561909547</v>
      </c>
      <c r="G71" s="47" t="s">
        <v>97</v>
      </c>
      <c r="H71" s="52">
        <f>B71*C39+C71</f>
        <v>-2.1634556070564015</v>
      </c>
    </row>
    <row r="72" spans="1:8">
      <c r="E72" s="53"/>
      <c r="F72" s="54"/>
      <c r="G72" s="54"/>
      <c r="H72" s="55"/>
    </row>
  </sheetData>
  <sheetProtection password="8687" sheet="1" objects="1" scenarios="1"/>
  <mergeCells count="6">
    <mergeCell ref="P10:Q10"/>
    <mergeCell ref="R10:S10"/>
    <mergeCell ref="T1:W1"/>
    <mergeCell ref="T2:W2"/>
    <mergeCell ref="T3:U3"/>
    <mergeCell ref="V3:W3"/>
  </mergeCells>
  <phoneticPr fontId="2" type="noConversion"/>
  <dataValidations count="1">
    <dataValidation type="whole" allowBlank="1" showInputMessage="1" showErrorMessage="1" errorTitle="valori cibo" error="Il valore deve essere un numero intero  compreso tra 0 e 10_x000a_" sqref="U4:U14 W4:W11">
      <formula1>0</formula1>
      <formula2>10</formula2>
    </dataValidation>
  </dataValidations>
  <pageMargins left="0.75" right="0.75" top="1" bottom="1" header="0.5" footer="0.5"/>
  <pageSetup paperSize="9" orientation="portrait" horizontalDpi="300" verticalDpi="300" r:id="rId1"/>
  <headerFooter alignWithMargins="0"/>
  <cellWatches>
    <cellWatch r="U18"/>
  </cellWatches>
  <ignoredErrors>
    <ignoredError sqref="M14:M15" formulaRange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2"/>
  <dimension ref="B1:C23"/>
  <sheetViews>
    <sheetView workbookViewId="0">
      <selection activeCell="K10" sqref="K10"/>
    </sheetView>
  </sheetViews>
  <sheetFormatPr defaultRowHeight="12.75"/>
  <sheetData>
    <row r="1" spans="2:3" ht="18.75" customHeight="1"/>
    <row r="2" spans="2:3" ht="22.5" customHeight="1"/>
    <row r="3" spans="2:3" ht="22.5" customHeight="1"/>
    <row r="4" spans="2:3" ht="22.5" customHeight="1">
      <c r="B4" s="1"/>
    </row>
    <row r="5" spans="2:3" ht="22.5" customHeight="1"/>
    <row r="6" spans="2:3" ht="22.5" customHeight="1">
      <c r="B6" s="1"/>
      <c r="C6" s="1"/>
    </row>
    <row r="7" spans="2:3" ht="22.5" customHeight="1">
      <c r="B7" s="1"/>
      <c r="C7" s="1"/>
    </row>
    <row r="8" spans="2:3" ht="22.5" customHeight="1">
      <c r="B8" s="2"/>
      <c r="C8" s="1"/>
    </row>
    <row r="9" spans="2:3" ht="22.5" customHeight="1">
      <c r="B9" s="2"/>
      <c r="C9" s="1"/>
    </row>
    <row r="10" spans="2:3" ht="22.5" customHeight="1">
      <c r="B10" s="2"/>
      <c r="C10" s="1"/>
    </row>
    <row r="11" spans="2:3" ht="22.5" customHeight="1">
      <c r="B11" s="2"/>
      <c r="C11" s="1"/>
    </row>
    <row r="12" spans="2:3" ht="22.5" customHeight="1">
      <c r="B12" s="2"/>
      <c r="C12" s="1"/>
    </row>
    <row r="13" spans="2:3" ht="22.5" customHeight="1">
      <c r="B13" s="1"/>
      <c r="C13" s="1"/>
    </row>
    <row r="14" spans="2:3" ht="22.5" customHeight="1">
      <c r="B14" s="1"/>
      <c r="C14" s="1"/>
    </row>
    <row r="15" spans="2:3" ht="22.5" customHeight="1">
      <c r="B15" s="1"/>
      <c r="C15" s="1"/>
    </row>
    <row r="16" spans="2:3" ht="22.5" customHeight="1">
      <c r="B16" s="1"/>
      <c r="C16" s="1"/>
    </row>
    <row r="17" spans="2:3">
      <c r="B17" s="1"/>
      <c r="C17" s="1"/>
    </row>
    <row r="18" spans="2:3">
      <c r="B18" s="1"/>
      <c r="C18" s="1"/>
    </row>
    <row r="19" spans="2:3">
      <c r="B19" s="1"/>
      <c r="C19" s="1"/>
    </row>
    <row r="20" spans="2:3">
      <c r="B20" s="1"/>
      <c r="C20" s="1"/>
    </row>
    <row r="21" spans="2:3">
      <c r="B21" s="1"/>
      <c r="C21" s="1"/>
    </row>
    <row r="22" spans="2:3">
      <c r="B22" s="1"/>
      <c r="C22" s="1"/>
    </row>
    <row r="23" spans="2:3">
      <c r="B23" s="1"/>
      <c r="C23" s="1"/>
    </row>
  </sheetData>
  <sheetProtection password="8687" sheet="1" objects="1" scenarios="1"/>
  <phoneticPr fontId="2" type="noConversion"/>
  <pageMargins left="0.37" right="0.2" top="0.47" bottom="0.53" header="0.49" footer="0.5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Foglio3"/>
  <dimension ref="B1:AT59"/>
  <sheetViews>
    <sheetView showGridLines="0" tabSelected="1" showOutlineSymbols="0" zoomScaleNormal="100" workbookViewId="0">
      <selection activeCell="AU14" sqref="AU14"/>
    </sheetView>
  </sheetViews>
  <sheetFormatPr defaultRowHeight="12.75"/>
  <cols>
    <col min="1" max="1" width="1.42578125" customWidth="1"/>
    <col min="2" max="2" width="2.140625" customWidth="1"/>
    <col min="3" max="4" width="2.28515625" customWidth="1"/>
    <col min="5" max="5" width="1.85546875" customWidth="1"/>
    <col min="6" max="6" width="2.28515625" customWidth="1"/>
    <col min="7" max="7" width="3" customWidth="1"/>
    <col min="8" max="10" width="2.28515625" customWidth="1"/>
    <col min="11" max="11" width="2.85546875" customWidth="1"/>
    <col min="12" max="12" width="2.28515625" customWidth="1"/>
    <col min="13" max="13" width="2.85546875" customWidth="1"/>
    <col min="14" max="18" width="2.28515625" customWidth="1"/>
    <col min="19" max="19" width="2.7109375" customWidth="1"/>
    <col min="20" max="20" width="2.28515625" customWidth="1"/>
    <col min="21" max="21" width="2.85546875" customWidth="1"/>
    <col min="22" max="23" width="1" customWidth="1"/>
    <col min="24" max="25" width="2.28515625" customWidth="1"/>
    <col min="26" max="26" width="2.7109375" customWidth="1"/>
    <col min="27" max="33" width="2.28515625" customWidth="1"/>
    <col min="34" max="34" width="3" customWidth="1"/>
    <col min="35" max="36" width="2.28515625" customWidth="1"/>
    <col min="37" max="37" width="2.85546875" customWidth="1"/>
    <col min="38" max="38" width="3" customWidth="1"/>
    <col min="39" max="42" width="2.28515625" customWidth="1"/>
    <col min="43" max="43" width="4.28515625" customWidth="1"/>
  </cols>
  <sheetData>
    <row r="1" spans="2:46" ht="20.25" customHeight="1">
      <c r="B1" s="56"/>
      <c r="C1" s="144" t="s">
        <v>140</v>
      </c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56"/>
    </row>
    <row r="2" spans="2:46" ht="19.5" customHeight="1">
      <c r="B2" s="56"/>
      <c r="C2" s="144" t="s">
        <v>139</v>
      </c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56"/>
    </row>
    <row r="3" spans="2:46" ht="2.25" customHeight="1" thickBot="1"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</row>
    <row r="4" spans="2:46" ht="17.25" customHeight="1"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58"/>
      <c r="W4" s="58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59"/>
    </row>
    <row r="5" spans="2:46" ht="10.5" customHeight="1">
      <c r="B5" s="60" t="s">
        <v>99</v>
      </c>
      <c r="C5" s="61"/>
      <c r="D5" s="62"/>
      <c r="E5" s="63"/>
      <c r="F5" s="63"/>
      <c r="G5" s="63"/>
      <c r="H5" s="63"/>
      <c r="I5" s="63"/>
      <c r="J5" s="63"/>
      <c r="K5" s="62"/>
      <c r="L5" s="63"/>
      <c r="M5" s="63"/>
      <c r="N5" s="63"/>
      <c r="O5" s="63"/>
      <c r="P5" s="63"/>
      <c r="Q5" s="63"/>
      <c r="R5" s="63"/>
      <c r="S5" s="63"/>
      <c r="T5" s="63"/>
      <c r="U5" s="63"/>
      <c r="V5" s="64"/>
      <c r="W5" s="58"/>
      <c r="X5" s="60" t="s">
        <v>111</v>
      </c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2"/>
      <c r="AQ5" s="62"/>
    </row>
    <row r="6" spans="2:46" ht="17.25" customHeight="1">
      <c r="B6" s="65" t="s">
        <v>100</v>
      </c>
      <c r="C6" s="59"/>
      <c r="D6" s="65"/>
      <c r="E6" s="65"/>
      <c r="F6" s="65"/>
      <c r="G6" s="65"/>
      <c r="H6" s="66"/>
      <c r="I6" s="67"/>
      <c r="J6" s="65"/>
      <c r="K6" s="65"/>
      <c r="L6" s="59"/>
      <c r="M6" s="59"/>
      <c r="N6" s="59"/>
      <c r="O6" s="59"/>
      <c r="P6" s="148" t="s">
        <v>101</v>
      </c>
      <c r="Q6" s="148"/>
      <c r="R6" s="148"/>
      <c r="S6" s="148"/>
      <c r="T6" s="65"/>
      <c r="U6" s="66"/>
      <c r="V6" s="64"/>
      <c r="W6" s="58"/>
      <c r="X6" s="149"/>
      <c r="Y6" s="149"/>
      <c r="Z6" s="149"/>
      <c r="AA6" s="149"/>
      <c r="AB6" s="149"/>
      <c r="AC6" s="59"/>
      <c r="AD6" s="59"/>
      <c r="AE6" s="59"/>
      <c r="AF6" s="59"/>
      <c r="AG6" s="59"/>
      <c r="AH6" s="59"/>
      <c r="AI6" s="59"/>
      <c r="AJ6" s="149"/>
      <c r="AK6" s="149"/>
      <c r="AL6" s="68"/>
      <c r="AM6" s="59"/>
      <c r="AN6" s="59"/>
      <c r="AO6" s="59"/>
      <c r="AP6" s="59"/>
      <c r="AQ6" s="59"/>
    </row>
    <row r="7" spans="2:46" ht="11.25" customHeight="1">
      <c r="B7" s="61"/>
      <c r="C7" s="69"/>
      <c r="D7" s="61"/>
      <c r="E7" s="61"/>
      <c r="F7" s="61"/>
      <c r="G7" s="61"/>
      <c r="H7" s="70"/>
      <c r="I7" s="71"/>
      <c r="J7" s="61"/>
      <c r="K7" s="61"/>
      <c r="L7" s="69"/>
      <c r="M7" s="69"/>
      <c r="N7" s="69"/>
      <c r="O7" s="69"/>
      <c r="P7" s="72"/>
      <c r="Q7" s="72"/>
      <c r="R7" s="72"/>
      <c r="S7" s="72"/>
      <c r="T7" s="61"/>
      <c r="U7" s="70"/>
      <c r="V7" s="64"/>
      <c r="W7" s="58"/>
      <c r="X7" s="60" t="s">
        <v>102</v>
      </c>
      <c r="Y7" s="62"/>
      <c r="Z7" s="73"/>
      <c r="AA7" s="73"/>
      <c r="AB7" s="73"/>
      <c r="AC7" s="62"/>
      <c r="AD7" s="62"/>
      <c r="AE7" s="62"/>
      <c r="AF7" s="69"/>
      <c r="AG7" s="74"/>
      <c r="AH7" s="75" t="s">
        <v>103</v>
      </c>
      <c r="AI7" s="74"/>
      <c r="AJ7" s="73"/>
      <c r="AK7" s="73"/>
      <c r="AL7" s="76"/>
      <c r="AM7" s="62"/>
      <c r="AN7" s="62"/>
      <c r="AO7" s="62"/>
      <c r="AP7" s="62"/>
      <c r="AQ7" s="62"/>
    </row>
    <row r="8" spans="2:46" ht="17.25" customHeight="1">
      <c r="B8" s="151"/>
      <c r="C8" s="151"/>
      <c r="D8" s="151"/>
      <c r="E8" s="151"/>
      <c r="F8" s="151"/>
      <c r="G8" s="151"/>
      <c r="H8" s="151"/>
      <c r="I8" s="152"/>
      <c r="J8" s="152"/>
      <c r="K8" s="152"/>
      <c r="L8" s="77"/>
      <c r="M8" s="77"/>
      <c r="N8" s="150"/>
      <c r="O8" s="150"/>
      <c r="P8" s="150"/>
      <c r="Q8" s="150"/>
      <c r="R8" s="150"/>
      <c r="S8" s="150"/>
      <c r="T8" s="150"/>
      <c r="U8" s="150"/>
      <c r="V8" s="78"/>
      <c r="W8" s="64"/>
      <c r="X8" s="150" t="s">
        <v>123</v>
      </c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59"/>
    </row>
    <row r="9" spans="2:46" ht="11.25" customHeight="1">
      <c r="B9" s="79" t="s">
        <v>117</v>
      </c>
      <c r="C9" s="62"/>
      <c r="D9" s="62"/>
      <c r="E9" s="62"/>
      <c r="F9" s="62"/>
      <c r="G9" s="62"/>
      <c r="H9" s="62"/>
      <c r="I9" s="146" t="s">
        <v>118</v>
      </c>
      <c r="J9" s="146"/>
      <c r="K9" s="62"/>
      <c r="L9" s="62"/>
      <c r="M9" s="62"/>
      <c r="N9" s="147" t="s">
        <v>119</v>
      </c>
      <c r="O9" s="147"/>
      <c r="P9" s="147"/>
      <c r="Q9" s="62"/>
      <c r="R9" s="62"/>
      <c r="S9" s="62"/>
      <c r="T9" s="62"/>
      <c r="U9" s="62"/>
      <c r="V9" s="64"/>
      <c r="W9" s="64"/>
      <c r="X9" s="146" t="s">
        <v>120</v>
      </c>
      <c r="Y9" s="146"/>
      <c r="Z9" s="146"/>
      <c r="AA9" s="146"/>
      <c r="AB9" s="62"/>
      <c r="AC9" s="80"/>
      <c r="AD9" s="80"/>
      <c r="AE9" s="80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</row>
    <row r="10" spans="2:46" ht="4.5" customHeight="1" thickBot="1"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2"/>
      <c r="W10" s="82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S10" s="1"/>
      <c r="AT10" s="1"/>
    </row>
    <row r="11" spans="2:46" ht="6.75" customHeight="1"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S11" s="1"/>
      <c r="AT11" s="1"/>
    </row>
    <row r="12" spans="2:46" s="4" customFormat="1" ht="12" customHeight="1">
      <c r="B12" s="83"/>
      <c r="C12" s="83"/>
      <c r="D12" s="83"/>
      <c r="E12" s="83"/>
      <c r="F12" s="83"/>
      <c r="G12" s="83"/>
      <c r="H12" s="83"/>
      <c r="I12" s="153"/>
      <c r="J12" s="153"/>
      <c r="K12" s="153"/>
      <c r="L12" s="153"/>
      <c r="M12" s="153"/>
      <c r="N12" s="153"/>
      <c r="O12" s="125" t="s">
        <v>116</v>
      </c>
      <c r="P12" s="85"/>
      <c r="Q12" s="85"/>
      <c r="R12" s="85"/>
      <c r="S12" s="115"/>
      <c r="T12" s="84"/>
      <c r="U12" s="85"/>
      <c r="V12" s="83"/>
      <c r="W12" s="83"/>
      <c r="X12" s="84"/>
      <c r="Y12" s="121" t="s">
        <v>136</v>
      </c>
      <c r="Z12" s="119"/>
      <c r="AA12" s="120"/>
      <c r="AB12" s="120"/>
      <c r="AC12" s="120"/>
      <c r="AD12" s="120"/>
      <c r="AE12" s="120"/>
      <c r="AF12" s="120"/>
      <c r="AG12" s="120"/>
      <c r="AI12" s="83"/>
      <c r="AJ12" s="83"/>
      <c r="AK12" s="83"/>
      <c r="AL12" s="83"/>
      <c r="AM12" s="83"/>
      <c r="AN12" s="83"/>
      <c r="AO12" s="83"/>
      <c r="AP12" s="83"/>
      <c r="AQ12" s="83"/>
      <c r="AS12" s="5"/>
      <c r="AT12" s="5"/>
    </row>
    <row r="13" spans="2:46" s="4" customFormat="1" ht="12" customHeight="1"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N13" s="80" t="s">
        <v>124</v>
      </c>
      <c r="O13" s="126"/>
      <c r="S13" s="84"/>
      <c r="U13" s="86"/>
      <c r="V13" s="83"/>
      <c r="W13" s="83"/>
      <c r="X13" s="87"/>
      <c r="Y13" s="115"/>
      <c r="Z13" s="84"/>
      <c r="AA13" s="122" t="s">
        <v>137</v>
      </c>
      <c r="AB13" s="80"/>
      <c r="AC13" s="80"/>
      <c r="AD13" s="80"/>
      <c r="AE13" s="80"/>
      <c r="AF13" s="80"/>
      <c r="AG13" s="80"/>
      <c r="AH13" s="123"/>
      <c r="AI13" s="124"/>
      <c r="AJ13" s="94"/>
      <c r="AK13" s="83"/>
      <c r="AL13" s="83"/>
      <c r="AM13" s="83"/>
      <c r="AN13" s="83"/>
      <c r="AO13" s="83"/>
      <c r="AP13" s="83"/>
      <c r="AQ13" s="83"/>
      <c r="AS13" s="5"/>
      <c r="AT13" s="5"/>
    </row>
    <row r="14" spans="2:46" ht="12" customHeight="1">
      <c r="B14" s="69"/>
      <c r="C14" s="69"/>
      <c r="D14" s="69"/>
      <c r="E14" s="69"/>
      <c r="F14" s="69"/>
      <c r="G14" s="84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84"/>
      <c r="AM14" s="69"/>
      <c r="AN14" s="69"/>
      <c r="AO14" s="88"/>
      <c r="AP14" s="69"/>
      <c r="AQ14" s="69"/>
      <c r="AS14" s="5"/>
      <c r="AT14" s="1"/>
    </row>
    <row r="15" spans="2:46" ht="12" customHeight="1">
      <c r="B15" s="8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S15" s="1"/>
      <c r="AT15" s="3"/>
    </row>
    <row r="16" spans="2:46" ht="12" customHeight="1"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</row>
    <row r="17" spans="2:43" ht="12" customHeight="1">
      <c r="B17" s="8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</row>
    <row r="18" spans="2:43" ht="12" customHeight="1">
      <c r="B18" s="8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</row>
    <row r="19" spans="2:43" ht="12" customHeight="1">
      <c r="B19" s="8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</row>
    <row r="20" spans="2:43" ht="12" customHeight="1">
      <c r="B20" s="8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</row>
    <row r="21" spans="2:43" ht="12" customHeight="1">
      <c r="B21" s="69"/>
      <c r="C21" s="69"/>
      <c r="D21" s="69"/>
      <c r="E21" s="69"/>
      <c r="F21" s="69"/>
      <c r="G21" s="84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84"/>
      <c r="AM21" s="69"/>
      <c r="AN21" s="69"/>
      <c r="AO21" s="69"/>
      <c r="AP21" s="69"/>
      <c r="AQ21" s="69"/>
    </row>
    <row r="22" spans="2:43" ht="12" customHeight="1">
      <c r="B22" s="8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</row>
    <row r="23" spans="2:43" ht="12" customHeight="1">
      <c r="B23" s="8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</row>
    <row r="24" spans="2:43" ht="12" customHeight="1">
      <c r="B24" s="8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</row>
    <row r="25" spans="2:43" ht="12" customHeight="1">
      <c r="B25" s="8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</row>
    <row r="26" spans="2:43" ht="12" customHeight="1">
      <c r="B26" s="8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</row>
    <row r="27" spans="2:43" ht="12" customHeight="1">
      <c r="B27" s="8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</row>
    <row r="28" spans="2:43" ht="12" customHeight="1">
      <c r="B28" s="8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</row>
    <row r="29" spans="2:43" ht="12" customHeight="1">
      <c r="B29" s="8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</row>
    <row r="30" spans="2:43" ht="12" customHeight="1">
      <c r="B30" s="8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</row>
    <row r="31" spans="2:43" ht="12" customHeight="1">
      <c r="B31" s="8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</row>
    <row r="32" spans="2:43" ht="12" customHeight="1">
      <c r="B32" s="8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90"/>
    </row>
    <row r="33" spans="2:43" ht="12" customHeight="1">
      <c r="B33" s="69"/>
      <c r="C33" s="69"/>
      <c r="D33" s="69"/>
      <c r="E33" s="69"/>
      <c r="F33" s="69"/>
      <c r="G33" s="84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84"/>
      <c r="AM33" s="69"/>
      <c r="AN33" s="69"/>
      <c r="AO33" s="69"/>
      <c r="AP33" s="69"/>
      <c r="AQ33" s="90"/>
    </row>
    <row r="34" spans="2:43" ht="12" customHeight="1">
      <c r="B34" s="8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90"/>
    </row>
    <row r="35" spans="2:43" ht="12" customHeight="1">
      <c r="B35" s="8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90"/>
    </row>
    <row r="36" spans="2:43" ht="12" customHeight="1">
      <c r="B36" s="69"/>
      <c r="C36" s="69"/>
      <c r="D36" s="69"/>
      <c r="E36" s="69"/>
      <c r="F36" s="69"/>
      <c r="G36" s="84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84"/>
      <c r="AM36" s="69"/>
      <c r="AN36" s="69"/>
      <c r="AO36" s="69"/>
      <c r="AP36" s="69"/>
      <c r="AQ36" s="69"/>
    </row>
    <row r="37" spans="2:43" ht="12" customHeight="1"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84"/>
      <c r="AM37" s="69"/>
      <c r="AN37" s="69"/>
      <c r="AO37" s="69"/>
      <c r="AP37" s="69"/>
      <c r="AQ37" s="69"/>
    </row>
    <row r="38" spans="2:43" ht="12" customHeight="1"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</row>
    <row r="39" spans="2:43" ht="12" customHeight="1"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</row>
    <row r="40" spans="2:43" ht="12" customHeight="1"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127" t="s">
        <v>125</v>
      </c>
      <c r="S40" s="84"/>
      <c r="T40" s="69"/>
      <c r="U40" s="69"/>
      <c r="V40" s="69"/>
      <c r="W40" s="69"/>
      <c r="X40" s="84"/>
      <c r="Y40" s="62" t="s">
        <v>127</v>
      </c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69"/>
      <c r="AN40" s="69"/>
      <c r="AO40" s="69"/>
      <c r="AP40" s="69"/>
      <c r="AQ40" s="69"/>
    </row>
    <row r="41" spans="2:43" ht="12" customHeight="1">
      <c r="B41" s="69"/>
      <c r="C41" s="83"/>
      <c r="D41" s="83"/>
      <c r="E41" s="83"/>
      <c r="F41" s="83"/>
      <c r="G41" s="83"/>
      <c r="H41" s="83"/>
      <c r="I41" s="83"/>
      <c r="J41" s="83"/>
      <c r="K41" s="83"/>
      <c r="L41" s="69"/>
      <c r="M41" s="69"/>
      <c r="N41" s="83"/>
      <c r="O41" s="83"/>
      <c r="P41" s="83"/>
      <c r="Q41" s="69"/>
      <c r="R41" s="127" t="s">
        <v>121</v>
      </c>
      <c r="S41" s="84"/>
      <c r="T41" s="83"/>
      <c r="U41" s="83"/>
      <c r="V41" s="83"/>
      <c r="W41" s="83"/>
      <c r="X41" s="83"/>
      <c r="Y41" s="69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83"/>
      <c r="AN41" s="69"/>
      <c r="AO41" s="83"/>
      <c r="AP41" s="83"/>
      <c r="AQ41" s="69"/>
    </row>
    <row r="42" spans="2:43" ht="12" customHeight="1">
      <c r="B42" s="69"/>
      <c r="C42" s="83"/>
      <c r="D42" s="83"/>
      <c r="E42" s="83"/>
      <c r="F42" s="83"/>
      <c r="G42" s="83"/>
      <c r="H42" s="83"/>
      <c r="I42" s="83"/>
      <c r="J42" s="83"/>
      <c r="K42" s="83"/>
      <c r="L42" s="69"/>
      <c r="M42" s="69"/>
      <c r="N42" s="83"/>
      <c r="O42" s="83"/>
      <c r="P42" s="83"/>
      <c r="Q42" s="69"/>
      <c r="R42" s="127" t="s">
        <v>122</v>
      </c>
      <c r="S42" s="84"/>
      <c r="T42" s="83"/>
      <c r="U42" s="83"/>
      <c r="V42" s="83"/>
      <c r="W42" s="83"/>
      <c r="X42" s="83"/>
      <c r="Y42" s="69"/>
      <c r="AA42" s="92"/>
      <c r="AB42" s="93"/>
      <c r="AC42" s="93"/>
      <c r="AD42" s="93"/>
      <c r="AE42" s="93"/>
      <c r="AF42" s="94"/>
      <c r="AG42" s="117"/>
      <c r="AH42" s="83"/>
      <c r="AI42" s="83"/>
      <c r="AJ42" s="83"/>
      <c r="AK42" s="83"/>
      <c r="AL42" s="83"/>
      <c r="AM42" s="83"/>
      <c r="AN42" s="69"/>
      <c r="AO42" s="83"/>
      <c r="AP42" s="83"/>
      <c r="AQ42" s="69"/>
    </row>
    <row r="43" spans="2:43" ht="12" customHeight="1">
      <c r="B43" s="69"/>
      <c r="C43" s="83"/>
      <c r="D43" s="83"/>
      <c r="E43" s="83"/>
      <c r="F43" s="83"/>
      <c r="G43" s="83"/>
      <c r="H43" s="83"/>
      <c r="I43" s="83"/>
      <c r="J43" s="83"/>
      <c r="K43" s="83"/>
      <c r="L43" s="69"/>
      <c r="M43" s="69"/>
      <c r="N43" s="83"/>
      <c r="O43" s="83"/>
      <c r="P43" s="83"/>
      <c r="Q43" s="69"/>
      <c r="R43" s="91"/>
      <c r="T43" s="83"/>
      <c r="U43" s="83"/>
      <c r="V43" s="83"/>
      <c r="W43" s="83"/>
      <c r="X43" s="83"/>
      <c r="Y43" s="69"/>
      <c r="Z43" s="116"/>
      <c r="AA43" s="92"/>
      <c r="AB43" s="93"/>
      <c r="AC43" s="93"/>
      <c r="AD43" s="93"/>
      <c r="AE43" s="93"/>
      <c r="AF43" s="94"/>
      <c r="AG43" s="69"/>
      <c r="AH43" s="83"/>
      <c r="AI43" s="83"/>
      <c r="AJ43" s="83"/>
      <c r="AK43" s="83"/>
      <c r="AL43" s="83"/>
      <c r="AM43" s="83"/>
      <c r="AN43" s="69"/>
      <c r="AO43" s="83"/>
      <c r="AP43" s="83"/>
      <c r="AQ43" s="69"/>
    </row>
    <row r="44" spans="2:43" ht="12.75" customHeight="1">
      <c r="B44" s="69"/>
      <c r="C44" s="83"/>
      <c r="D44" s="83"/>
      <c r="E44" s="83"/>
      <c r="F44" s="83"/>
      <c r="G44" s="83"/>
      <c r="H44" s="83"/>
      <c r="I44" s="83"/>
      <c r="J44" s="83"/>
      <c r="K44" s="83"/>
      <c r="L44" s="69"/>
      <c r="M44" s="69"/>
      <c r="N44" s="83"/>
      <c r="O44" s="83"/>
      <c r="P44" s="83"/>
      <c r="Q44" s="90"/>
      <c r="R44" s="95"/>
      <c r="S44" s="127" t="s">
        <v>48</v>
      </c>
      <c r="T44" s="60"/>
      <c r="U44" s="84"/>
      <c r="V44" s="60"/>
      <c r="W44" s="60"/>
      <c r="X44" s="60"/>
      <c r="Y44" s="62"/>
      <c r="Z44" s="84"/>
      <c r="AA44" s="142" t="s">
        <v>126</v>
      </c>
      <c r="AB44" s="143"/>
      <c r="AC44" s="143"/>
      <c r="AD44" s="143"/>
      <c r="AE44" s="143"/>
      <c r="AF44" s="143"/>
      <c r="AG44" s="143"/>
      <c r="AH44" s="143"/>
      <c r="AI44" s="143"/>
      <c r="AJ44" s="83"/>
      <c r="AK44" s="83"/>
      <c r="AL44" s="83"/>
      <c r="AM44" s="83"/>
      <c r="AN44" s="69"/>
      <c r="AO44" s="83"/>
      <c r="AP44" s="83"/>
      <c r="AQ44" s="69"/>
    </row>
    <row r="45" spans="2:43" ht="11.25" customHeight="1">
      <c r="B45" s="59"/>
      <c r="C45" s="96"/>
      <c r="D45" s="96"/>
      <c r="E45" s="96"/>
      <c r="F45" s="96"/>
      <c r="G45" s="96"/>
      <c r="H45" s="96"/>
      <c r="I45" s="96"/>
      <c r="J45" s="96"/>
      <c r="K45" s="96"/>
      <c r="L45" s="59"/>
      <c r="M45" s="59"/>
      <c r="N45" s="96"/>
      <c r="O45" s="96"/>
      <c r="P45" s="96"/>
      <c r="Q45" s="97"/>
      <c r="R45" s="98"/>
      <c r="S45" s="96"/>
      <c r="T45" s="96"/>
      <c r="U45" s="96"/>
      <c r="V45" s="96"/>
      <c r="W45" s="96"/>
      <c r="X45" s="96"/>
      <c r="Y45" s="59"/>
      <c r="Z45" s="98"/>
      <c r="AA45" s="96"/>
      <c r="AB45" s="96"/>
      <c r="AC45" s="96"/>
      <c r="AD45" s="96"/>
      <c r="AE45" s="96"/>
      <c r="AF45" s="96"/>
      <c r="AG45" s="59"/>
      <c r="AH45" s="96"/>
      <c r="AI45" s="96"/>
      <c r="AJ45" s="96"/>
      <c r="AK45" s="96"/>
      <c r="AL45" s="96"/>
      <c r="AM45" s="96"/>
      <c r="AN45" s="59"/>
      <c r="AO45" s="96"/>
      <c r="AP45" s="96"/>
      <c r="AQ45" s="59"/>
    </row>
    <row r="46" spans="2:43" s="6" customFormat="1" ht="12" customHeight="1">
      <c r="B46" s="99"/>
      <c r="C46" s="139" t="s">
        <v>112</v>
      </c>
      <c r="D46" s="139"/>
      <c r="E46" s="139"/>
      <c r="F46" s="139"/>
      <c r="G46" s="139"/>
      <c r="H46" s="139"/>
      <c r="I46" s="140" t="str">
        <f>IF(calcolo!U16&gt;calcolo!U17,calcolo!T21,calcolo!T20)</f>
        <v>VINO</v>
      </c>
      <c r="J46" s="140"/>
      <c r="K46" s="140"/>
      <c r="L46" s="100"/>
      <c r="M46" s="100"/>
      <c r="N46" s="100"/>
      <c r="O46" s="139" t="s">
        <v>113</v>
      </c>
      <c r="P46" s="139"/>
      <c r="Q46" s="139"/>
      <c r="R46" s="139"/>
      <c r="S46" s="100"/>
      <c r="T46" s="141">
        <f>calcolo!U18</f>
        <v>2.631885384888029</v>
      </c>
      <c r="U46" s="141"/>
      <c r="V46" s="141"/>
      <c r="W46" s="100"/>
      <c r="X46" s="100"/>
      <c r="Y46" s="99"/>
      <c r="Z46" s="101"/>
      <c r="AA46" s="99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99"/>
      <c r="AN46" s="101"/>
      <c r="AO46" s="101"/>
      <c r="AP46" s="99"/>
      <c r="AQ46" s="99"/>
    </row>
    <row r="47" spans="2:43" s="6" customFormat="1" ht="4.5" customHeight="1"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</row>
    <row r="48" spans="2:43" s="6" customFormat="1" ht="4.5" customHeight="1"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4"/>
    </row>
    <row r="49" spans="2:43" s="6" customFormat="1" ht="12.75" customHeight="1">
      <c r="B49" s="104"/>
      <c r="C49" s="105" t="s">
        <v>138</v>
      </c>
      <c r="D49" s="105"/>
      <c r="E49" s="105"/>
      <c r="F49" s="105"/>
      <c r="G49" s="105"/>
      <c r="H49" s="105"/>
      <c r="I49" s="105"/>
      <c r="J49" s="105"/>
      <c r="K49" s="84"/>
      <c r="L49" s="104"/>
      <c r="M49" s="105" t="s">
        <v>108</v>
      </c>
      <c r="N49" s="104"/>
      <c r="O49" s="105"/>
      <c r="P49" s="105"/>
      <c r="Q49" s="105"/>
      <c r="R49" s="105"/>
      <c r="S49" s="105"/>
      <c r="T49" s="105"/>
      <c r="U49" s="84"/>
      <c r="V49" s="104"/>
      <c r="W49" s="105" t="s">
        <v>109</v>
      </c>
      <c r="X49" s="105"/>
      <c r="Y49" s="104"/>
      <c r="Z49" s="105"/>
      <c r="AA49" s="105"/>
      <c r="AB49" s="105"/>
      <c r="AC49" s="105"/>
      <c r="AD49" s="105"/>
      <c r="AE49" s="105"/>
      <c r="AF49" s="104"/>
      <c r="AG49" s="105"/>
      <c r="AH49" s="104"/>
      <c r="AI49" s="105"/>
      <c r="AJ49" s="105"/>
      <c r="AK49" s="84"/>
      <c r="AL49" s="104"/>
      <c r="AM49" s="105" t="s">
        <v>110</v>
      </c>
      <c r="AN49" s="105"/>
      <c r="AO49" s="104"/>
      <c r="AP49" s="104"/>
      <c r="AQ49" s="104"/>
    </row>
    <row r="50" spans="2:43" s="6" customFormat="1" ht="6" customHeight="1">
      <c r="B50" s="104"/>
      <c r="C50" s="105"/>
      <c r="D50" s="105"/>
      <c r="E50" s="105"/>
      <c r="F50" s="105"/>
      <c r="G50" s="105"/>
      <c r="H50" s="105"/>
      <c r="I50" s="105"/>
      <c r="J50" s="105"/>
      <c r="K50" s="106"/>
      <c r="L50" s="105"/>
      <c r="M50" s="105"/>
      <c r="N50" s="105"/>
      <c r="O50" s="105"/>
      <c r="P50" s="105"/>
      <c r="Q50" s="105"/>
      <c r="R50" s="105"/>
      <c r="S50" s="105"/>
      <c r="T50" s="105"/>
      <c r="U50" s="106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6"/>
      <c r="AL50" s="105"/>
      <c r="AM50" s="105"/>
      <c r="AN50" s="105"/>
      <c r="AO50" s="105"/>
      <c r="AP50" s="104"/>
      <c r="AQ50" s="104"/>
    </row>
    <row r="51" spans="2:43" s="6" customFormat="1" ht="12.75" customHeight="1">
      <c r="B51" s="104"/>
      <c r="C51" s="105" t="s">
        <v>104</v>
      </c>
      <c r="D51" s="105"/>
      <c r="E51" s="105"/>
      <c r="F51" s="105"/>
      <c r="G51" s="105"/>
      <c r="H51" s="105"/>
      <c r="I51" s="105"/>
      <c r="J51" s="105"/>
      <c r="K51" s="84"/>
      <c r="L51" s="104"/>
      <c r="M51" s="105" t="s">
        <v>105</v>
      </c>
      <c r="N51" s="105"/>
      <c r="O51" s="105"/>
      <c r="P51" s="105"/>
      <c r="Q51" s="105"/>
      <c r="R51" s="105"/>
      <c r="S51" s="104"/>
      <c r="T51" s="105"/>
      <c r="U51" s="84"/>
      <c r="V51" s="104"/>
      <c r="W51" s="105" t="s">
        <v>106</v>
      </c>
      <c r="X51" s="105"/>
      <c r="Y51" s="104"/>
      <c r="Z51" s="114"/>
      <c r="AA51" s="104"/>
      <c r="AB51" s="105"/>
      <c r="AC51" s="105"/>
      <c r="AD51" s="105"/>
      <c r="AE51" s="105"/>
      <c r="AF51" s="104"/>
      <c r="AG51" s="105"/>
      <c r="AH51" s="105"/>
      <c r="AI51" s="105"/>
      <c r="AJ51" s="105"/>
      <c r="AK51" s="84"/>
      <c r="AL51" s="104"/>
      <c r="AM51" s="105" t="s">
        <v>107</v>
      </c>
      <c r="AN51" s="105"/>
      <c r="AO51" s="104"/>
      <c r="AP51" s="104"/>
      <c r="AQ51" s="104"/>
    </row>
    <row r="52" spans="2:43" s="6" customFormat="1" ht="4.5" customHeight="1"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</row>
    <row r="53" spans="2:43" s="6" customFormat="1" ht="15" customHeight="1">
      <c r="B53" s="103"/>
      <c r="C53" s="138"/>
      <c r="D53" s="138"/>
      <c r="E53" s="138"/>
      <c r="F53" s="138"/>
      <c r="G53" s="138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  <c r="AA53" s="137"/>
      <c r="AB53" s="137"/>
      <c r="AC53" s="137"/>
      <c r="AD53" s="137"/>
      <c r="AE53" s="137"/>
      <c r="AF53" s="137"/>
      <c r="AG53" s="137"/>
      <c r="AH53" s="137"/>
      <c r="AI53" s="137"/>
      <c r="AJ53" s="137"/>
      <c r="AK53" s="137"/>
      <c r="AL53" s="137"/>
      <c r="AM53" s="137"/>
      <c r="AN53" s="137"/>
      <c r="AO53" s="137"/>
      <c r="AP53" s="137"/>
      <c r="AQ53" s="107"/>
    </row>
    <row r="54" spans="2:43" s="6" customFormat="1" ht="6.75" customHeight="1">
      <c r="B54" s="108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8"/>
    </row>
    <row r="55" spans="2:43" s="6" customFormat="1" ht="17.25" customHeight="1">
      <c r="B55" s="104"/>
      <c r="C55" s="105" t="s">
        <v>128</v>
      </c>
      <c r="D55" s="105"/>
      <c r="E55" s="105"/>
      <c r="F55" s="105"/>
      <c r="G55" s="105"/>
      <c r="H55" s="105"/>
      <c r="I55" s="105"/>
      <c r="J55" s="105"/>
      <c r="K55" s="84"/>
      <c r="L55" s="104"/>
      <c r="M55" s="105" t="s">
        <v>130</v>
      </c>
      <c r="N55" s="105"/>
      <c r="O55" s="105"/>
      <c r="P55" s="105"/>
      <c r="Q55" s="105"/>
      <c r="R55" s="105"/>
      <c r="S55" s="105"/>
      <c r="T55" s="105"/>
      <c r="U55" s="84"/>
      <c r="V55" s="105"/>
      <c r="W55" s="105" t="s">
        <v>131</v>
      </c>
      <c r="X55" s="105"/>
      <c r="Y55" s="104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84"/>
      <c r="AL55" s="105"/>
      <c r="AM55" s="109" t="s">
        <v>132</v>
      </c>
      <c r="AN55" s="105"/>
      <c r="AO55" s="104"/>
      <c r="AP55" s="105"/>
      <c r="AQ55" s="104"/>
    </row>
    <row r="56" spans="2:43" s="6" customFormat="1" ht="12.75" customHeight="1">
      <c r="B56" s="104"/>
      <c r="C56" s="105" t="s">
        <v>129</v>
      </c>
      <c r="D56" s="105"/>
      <c r="E56" s="105"/>
      <c r="F56" s="105"/>
      <c r="G56" s="105"/>
      <c r="H56" s="105"/>
      <c r="I56" s="105"/>
      <c r="J56" s="105"/>
      <c r="K56" s="84"/>
      <c r="L56" s="104"/>
      <c r="M56" s="105" t="s">
        <v>133</v>
      </c>
      <c r="N56" s="105"/>
      <c r="O56" s="105"/>
      <c r="P56" s="105"/>
      <c r="Q56" s="105"/>
      <c r="R56" s="105"/>
      <c r="S56" s="105"/>
      <c r="T56" s="105"/>
      <c r="U56" s="84"/>
      <c r="V56" s="105"/>
      <c r="W56" s="105" t="s">
        <v>134</v>
      </c>
      <c r="X56" s="105"/>
      <c r="Y56" s="104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84"/>
      <c r="AL56" s="105"/>
      <c r="AM56" s="109" t="s">
        <v>135</v>
      </c>
      <c r="AN56" s="105"/>
      <c r="AO56" s="104"/>
      <c r="AP56" s="105"/>
      <c r="AQ56" s="104"/>
    </row>
    <row r="57" spans="2:43" s="6" customFormat="1" ht="3.75" customHeight="1">
      <c r="B57" s="104"/>
      <c r="C57" s="105"/>
      <c r="D57" s="105"/>
      <c r="E57" s="105"/>
      <c r="F57" s="105"/>
      <c r="G57" s="105"/>
      <c r="H57" s="105"/>
      <c r="I57" s="105"/>
      <c r="J57" s="105"/>
      <c r="K57" s="110"/>
      <c r="L57" s="105"/>
      <c r="M57" s="105"/>
      <c r="N57" s="105"/>
      <c r="O57" s="105"/>
      <c r="P57" s="105"/>
      <c r="Q57" s="105"/>
      <c r="R57" s="105"/>
      <c r="S57" s="105"/>
      <c r="T57" s="105"/>
      <c r="U57" s="110"/>
      <c r="V57" s="105"/>
      <c r="W57" s="105"/>
      <c r="X57" s="105"/>
      <c r="Y57" s="104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10"/>
      <c r="AL57" s="105"/>
      <c r="AM57" s="104"/>
      <c r="AN57" s="105"/>
      <c r="AO57" s="111"/>
      <c r="AP57" s="105"/>
      <c r="AQ57" s="104"/>
    </row>
    <row r="58" spans="2:43" s="6" customFormat="1" ht="6.75" customHeight="1"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3"/>
      <c r="AN58" s="112"/>
      <c r="AO58" s="112"/>
      <c r="AP58" s="112"/>
      <c r="AQ58" s="112"/>
    </row>
    <row r="59" spans="2:43" s="6" customFormat="1" ht="11.25" customHeight="1"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07"/>
    </row>
  </sheetData>
  <dataConsolidate/>
  <mergeCells count="22">
    <mergeCell ref="AA44:AI44"/>
    <mergeCell ref="C1:AP1"/>
    <mergeCell ref="C2:AP2"/>
    <mergeCell ref="I9:J9"/>
    <mergeCell ref="N9:P9"/>
    <mergeCell ref="P6:S6"/>
    <mergeCell ref="AJ6:AK6"/>
    <mergeCell ref="X9:AA9"/>
    <mergeCell ref="B4:U4"/>
    <mergeCell ref="X4:AP4"/>
    <mergeCell ref="B8:H8"/>
    <mergeCell ref="I8:K8"/>
    <mergeCell ref="X8:AP8"/>
    <mergeCell ref="N8:U8"/>
    <mergeCell ref="X6:AB6"/>
    <mergeCell ref="I12:N12"/>
    <mergeCell ref="H53:AP53"/>
    <mergeCell ref="C53:G53"/>
    <mergeCell ref="C46:H46"/>
    <mergeCell ref="I46:K46"/>
    <mergeCell ref="O46:R46"/>
    <mergeCell ref="T46:V46"/>
  </mergeCells>
  <phoneticPr fontId="2" type="noConversion"/>
  <conditionalFormatting sqref="Z46 I46">
    <cfRule type="cellIs" dxfId="1" priority="1" stopIfTrue="1" operator="equal">
      <formula>"VINO"</formula>
    </cfRule>
    <cfRule type="cellIs" dxfId="0" priority="2" stopIfTrue="1" operator="equal">
      <formula>"CIBO"</formula>
    </cfRule>
  </conditionalFormatting>
  <dataValidations count="1">
    <dataValidation type="whole" allowBlank="1" showInputMessage="1" showErrorMessage="1" errorTitle="valori cibo" error="Il valore deve essere un numero intero  compreso tra 0 e 10 o campo vuoto_x000a_" sqref="AG42 U44 G36 G21 AL21 AL36:AL37 Z43:Z44 S40:S42 X40 AL14 AL33 G14 X12 T12 G33 S13 Z13">
      <formula1>0</formula1>
      <formula2>10</formula2>
    </dataValidation>
  </dataValidations>
  <pageMargins left="0.55118110236220474" right="0.23622047244094491" top="0.98425196850393704" bottom="0.98425196850393704" header="0.51181102362204722" footer="0.51181102362204722"/>
  <pageSetup paperSize="9" scale="95" orientation="portrait" horizontalDpi="300" verticalDpi="300" r:id="rId1"/>
  <headerFooter alignWithMargins="0"/>
  <cellWatches>
    <cellWatch r="T46"/>
  </cellWatche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Foglio4"/>
  <dimension ref="A1"/>
  <sheetViews>
    <sheetView showGridLines="0"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10</vt:i4>
      </vt:variant>
    </vt:vector>
  </HeadingPairs>
  <TitlesOfParts>
    <vt:vector size="14" baseType="lpstr">
      <vt:lpstr>calcolo</vt:lpstr>
      <vt:lpstr>Note</vt:lpstr>
      <vt:lpstr>scheda</vt:lpstr>
      <vt:lpstr>vuoto</vt:lpstr>
      <vt:lpstr>_COS11</vt:lpstr>
      <vt:lpstr>_COS19</vt:lpstr>
      <vt:lpstr>_COS30</vt:lpstr>
      <vt:lpstr>_COS41</vt:lpstr>
      <vt:lpstr>_SEN11</vt:lpstr>
      <vt:lpstr>_SEN19</vt:lpstr>
      <vt:lpstr>_SEN30</vt:lpstr>
      <vt:lpstr>_SEN41</vt:lpstr>
      <vt:lpstr>scheda!Area_stampa</vt:lpstr>
      <vt:lpstr>pi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Flavio</dc:creator>
  <cp:lastModifiedBy>Utente Windows</cp:lastModifiedBy>
  <cp:lastPrinted>2006-03-29T19:33:07Z</cp:lastPrinted>
  <dcterms:created xsi:type="dcterms:W3CDTF">2005-02-06T14:13:31Z</dcterms:created>
  <dcterms:modified xsi:type="dcterms:W3CDTF">2024-11-27T09:32:41Z</dcterms:modified>
</cp:coreProperties>
</file>